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608" activeTab="0"/>
  </bookViews>
  <sheets>
    <sheet name="MCB" sheetId="1" r:id="rId1"/>
    <sheet name="Deputy Director" sheetId="2" r:id="rId2"/>
    <sheet name="PR Adjustments" sheetId="3" r:id="rId3"/>
    <sheet name="Project_CSSM" sheetId="4" r:id="rId4"/>
  </sheets>
  <definedNames>
    <definedName name="_Order1" hidden="1">255</definedName>
    <definedName name="_Order2" hidden="1">255</definedName>
    <definedName name="_xlnm.Print_Area" localSheetId="1">'Deputy Director'!$A$1:$K$62</definedName>
    <definedName name="_xlnm.Print_Area" localSheetId="0">'MCB'!$A$1:$P$85</definedName>
    <definedName name="_xlnm.Print_Area" localSheetId="2">'PR Adjustments'!$A$1:$J$61</definedName>
    <definedName name="_xlnm.Print_Titles" localSheetId="2">'PR Adjustments'!$1:$9</definedName>
    <definedName name="_xlnm.Print_Titles" localSheetId="3">'Project_CSSM'!$8:$10</definedName>
  </definedNames>
  <calcPr fullCalcOnLoad="1"/>
</workbook>
</file>

<file path=xl/sharedStrings.xml><?xml version="1.0" encoding="utf-8"?>
<sst xmlns="http://schemas.openxmlformats.org/spreadsheetml/2006/main" count="353" uniqueCount="280">
  <si>
    <t>Projections Based on:</t>
  </si>
  <si>
    <t>12 Mths*</t>
  </si>
  <si>
    <t>13 Mths**</t>
  </si>
  <si>
    <t>Based on PR</t>
  </si>
  <si>
    <t xml:space="preserve"> </t>
  </si>
  <si>
    <t>Completed</t>
  </si>
  <si>
    <t>Remaining</t>
  </si>
  <si>
    <t>PLAN</t>
  </si>
  <si>
    <t>ACTUAL EXPENDITURES</t>
  </si>
  <si>
    <t>PROJECTIONS</t>
  </si>
  <si>
    <t>Adjusted</t>
  </si>
  <si>
    <t>Current</t>
  </si>
  <si>
    <t>Projected</t>
  </si>
  <si>
    <t>Anticipated</t>
  </si>
  <si>
    <t>Financial</t>
  </si>
  <si>
    <t>Month</t>
  </si>
  <si>
    <t>Full Year</t>
  </si>
  <si>
    <t>Percent</t>
  </si>
  <si>
    <t>Categories</t>
  </si>
  <si>
    <t>Totals</t>
  </si>
  <si>
    <t>Plan</t>
  </si>
  <si>
    <t>Adj.</t>
  </si>
  <si>
    <t>Expend.</t>
  </si>
  <si>
    <t>Expenses</t>
  </si>
  <si>
    <t>Encumb.</t>
  </si>
  <si>
    <t>Total</t>
  </si>
  <si>
    <t>Expenditures</t>
  </si>
  <si>
    <t>Balance</t>
  </si>
  <si>
    <t>Of Plan</t>
  </si>
  <si>
    <t>Guideline</t>
  </si>
  <si>
    <t>Authorized Approp.</t>
  </si>
  <si>
    <t>Available Approp.</t>
  </si>
  <si>
    <t>EXPENDITURES:</t>
  </si>
  <si>
    <t xml:space="preserve">  Salaries &amp; Wages</t>
  </si>
  <si>
    <t xml:space="preserve">  Longevity &amp; Insurance</t>
  </si>
  <si>
    <t xml:space="preserve">  Retirement &amp; FICA</t>
  </si>
  <si>
    <t xml:space="preserve">  Communications**</t>
  </si>
  <si>
    <t xml:space="preserve">  Contractual Services*</t>
  </si>
  <si>
    <t xml:space="preserve">  Supplies &amp; Materials**</t>
  </si>
  <si>
    <t xml:space="preserve">  Equipment*</t>
  </si>
  <si>
    <t>TOTAL Expenditures</t>
  </si>
  <si>
    <t>Remaining Approp.</t>
  </si>
  <si>
    <t>SUMMARY BY FUNDING SOURCE</t>
  </si>
  <si>
    <t xml:space="preserve">  GF/GP - 7001</t>
  </si>
  <si>
    <t>TOTAL</t>
  </si>
  <si>
    <t>Salary and Wage Adjustment</t>
  </si>
  <si>
    <t>PP #Used:</t>
  </si>
  <si>
    <t>Payperiods Remaining:</t>
  </si>
  <si>
    <t>Ins./Long.</t>
  </si>
  <si>
    <t>FICA/Ret.</t>
  </si>
  <si>
    <t>Salary and Fringes Projection Report</t>
  </si>
  <si>
    <t>ESTIMATED INCREASES</t>
  </si>
  <si>
    <t>Pay</t>
  </si>
  <si>
    <t>Date</t>
  </si>
  <si>
    <t>Position</t>
  </si>
  <si>
    <t>Position #</t>
  </si>
  <si>
    <t>Pay Rate</t>
  </si>
  <si>
    <t>Biweekly</t>
  </si>
  <si>
    <t>Periods</t>
  </si>
  <si>
    <t>Salaries</t>
  </si>
  <si>
    <t>Leave of Absences  (Currently off payroll)</t>
  </si>
  <si>
    <t>Return to work Date</t>
  </si>
  <si>
    <t>Payperiod Remain.</t>
  </si>
  <si>
    <t>Anticipated Salaries</t>
  </si>
  <si>
    <t>NAME</t>
  </si>
  <si>
    <t>Miscellaneous Decreases</t>
  </si>
  <si>
    <t>TOTAL ESTMATED INCREASES</t>
  </si>
  <si>
    <t xml:space="preserve">ESTIMATED DECREASES </t>
  </si>
  <si>
    <t>Retirement overestimate due to Longevity</t>
  </si>
  <si>
    <t>Amount paid this payperiod</t>
  </si>
  <si>
    <t>Overestimate due to payroll adjustment</t>
  </si>
  <si>
    <t>(Retroactive/lump sum)</t>
  </si>
  <si>
    <t>TOTAL DECREASES</t>
  </si>
  <si>
    <t>TOTAL ADJUSTMENTS</t>
  </si>
  <si>
    <t>TOTAL PROJECTION</t>
  </si>
  <si>
    <t>Actual</t>
  </si>
  <si>
    <t>Notes:</t>
  </si>
  <si>
    <t>Appropriation:</t>
  </si>
  <si>
    <t xml:space="preserve">  Communications</t>
  </si>
  <si>
    <t xml:space="preserve">  Utilities</t>
  </si>
  <si>
    <t xml:space="preserve">  Contractual Services</t>
  </si>
  <si>
    <t xml:space="preserve">  Supplies &amp; Materials</t>
  </si>
  <si>
    <t xml:space="preserve">  Equipment</t>
  </si>
  <si>
    <t xml:space="preserve">  Grants</t>
  </si>
  <si>
    <t xml:space="preserve">  Misc.</t>
  </si>
  <si>
    <t>Miscellaneous Increases</t>
  </si>
  <si>
    <t>Estimated Early Out Retirement Savings</t>
  </si>
  <si>
    <t>Going Off Payroll</t>
  </si>
  <si>
    <t xml:space="preserve">  Terminal Leave</t>
  </si>
  <si>
    <t>Commission For The Blind (11210)</t>
  </si>
  <si>
    <t xml:space="preserve">  FEDERAL - 0715</t>
  </si>
  <si>
    <t xml:space="preserve">  PRIVATE - 0905</t>
  </si>
  <si>
    <t xml:space="preserve">  RESTRICTED - 1195</t>
  </si>
  <si>
    <t xml:space="preserve">  LOCAL - 1337</t>
  </si>
  <si>
    <t xml:space="preserve">  Miscellaneous**</t>
  </si>
  <si>
    <t xml:space="preserve">  Utilities**</t>
  </si>
  <si>
    <t xml:space="preserve">  Grants*</t>
  </si>
  <si>
    <t xml:space="preserve">  Unavailable funds</t>
  </si>
  <si>
    <t>BOARDS, AUTHORITIES AND COMMISSIONS</t>
  </si>
  <si>
    <t xml:space="preserve">  Cost Allocations**</t>
  </si>
  <si>
    <t xml:space="preserve">  Consulting Services</t>
  </si>
  <si>
    <t xml:space="preserve">  Charges From DIT</t>
  </si>
  <si>
    <t xml:space="preserve">  Cost Allocations</t>
  </si>
  <si>
    <t>Commission for the Blind (11210)</t>
  </si>
  <si>
    <t xml:space="preserve">  Fiscal and Interest Payments</t>
  </si>
  <si>
    <t xml:space="preserve">  Client Services and BEP</t>
  </si>
  <si>
    <t>.</t>
  </si>
  <si>
    <t>FICA/Ret. **</t>
  </si>
  <si>
    <t>** amount includes the BEP operator retirement projections</t>
  </si>
  <si>
    <t xml:space="preserve">Salary </t>
  </si>
  <si>
    <t xml:space="preserve">  Indirect Salaries</t>
  </si>
  <si>
    <t xml:space="preserve">  Internal Audit</t>
  </si>
  <si>
    <t xml:space="preserve">  Auditor Gen Charges</t>
  </si>
  <si>
    <t>Anticipated Hires - C47s</t>
  </si>
  <si>
    <t>Balance/Lapse</t>
  </si>
  <si>
    <t>FY 10</t>
  </si>
  <si>
    <t>Position/Employee</t>
  </si>
  <si>
    <t>3/11</t>
  </si>
  <si>
    <t>Ret. *15pp remaining</t>
  </si>
  <si>
    <t>Completed Months</t>
  </si>
  <si>
    <t>Months Remain from 12</t>
  </si>
  <si>
    <t>Months Remain from 13</t>
  </si>
  <si>
    <t>Prior Year</t>
  </si>
  <si>
    <t>Actual Exp.</t>
  </si>
  <si>
    <t xml:space="preserve">Projected </t>
  </si>
  <si>
    <t xml:space="preserve">Total </t>
  </si>
  <si>
    <t>Adjustments</t>
  </si>
  <si>
    <t>Terminal Leave  (04)</t>
  </si>
  <si>
    <t>Terminal Longevity Retirement</t>
  </si>
  <si>
    <t>Terminal Longevity Death</t>
  </si>
  <si>
    <t>Term Annual Comp Time &amp; 1981 Defer</t>
  </si>
  <si>
    <t>Terminal Sick Leave Other</t>
  </si>
  <si>
    <t>Term 1982 &amp; Later Deferred Hrs</t>
  </si>
  <si>
    <t>Travel  (05, 06)</t>
  </si>
  <si>
    <t>St. Vehicle Usage In St.</t>
  </si>
  <si>
    <t>Vehicles-lease Payments Enterprise</t>
  </si>
  <si>
    <t>Std Mileage-Non Tax In St.</t>
  </si>
  <si>
    <t>Prem Mileage-Non Tax In St.</t>
  </si>
  <si>
    <t>Meals NonTax In St.</t>
  </si>
  <si>
    <t>Meals Tax In St.</t>
  </si>
  <si>
    <t>Lodging In St.</t>
  </si>
  <si>
    <t>Other Travel Exp In St.</t>
  </si>
  <si>
    <t>Taxable Employee Exp Reim - In State</t>
  </si>
  <si>
    <t>Non-Tax Employee Exp Reim - In State</t>
  </si>
  <si>
    <t>STD Mile-Nontax-out of State</t>
  </si>
  <si>
    <t>Airfare - Out of State</t>
  </si>
  <si>
    <t>Meals Nontax. out St.</t>
  </si>
  <si>
    <t>Lodging Out of St.</t>
  </si>
  <si>
    <t>Other Employee Travel Exp - Out of State</t>
  </si>
  <si>
    <t>Communications  (07)</t>
  </si>
  <si>
    <t>Telephone, Telegraph</t>
  </si>
  <si>
    <t>Telephone Cellular</t>
  </si>
  <si>
    <t>Wireless and Internet Services</t>
  </si>
  <si>
    <t>DIT-Telephone, Telegraph</t>
  </si>
  <si>
    <t>DIT-Telephone Installation</t>
  </si>
  <si>
    <t>Utilities ( 08)</t>
  </si>
  <si>
    <t>Utilities- Electric</t>
  </si>
  <si>
    <t>Contractual Services  (09)</t>
  </si>
  <si>
    <t>Drug Testing Serv</t>
  </si>
  <si>
    <t>Other Purchases Services</t>
  </si>
  <si>
    <t>Other Purch Svs - Temporary Clerical</t>
  </si>
  <si>
    <t>Other Fees &amp; Compensations</t>
  </si>
  <si>
    <t>Conferences and Seminars</t>
  </si>
  <si>
    <t>Freight</t>
  </si>
  <si>
    <t>Insurance &amp; bonds</t>
  </si>
  <si>
    <t>Advertising</t>
  </si>
  <si>
    <t>Mailing Serv</t>
  </si>
  <si>
    <t>Maintenance Services - Bldg Repair</t>
  </si>
  <si>
    <t>Rentals - PO Cox, Conf &amp; Meeting Room</t>
  </si>
  <si>
    <t>DIT-Purchased Data Processing Serv</t>
  </si>
  <si>
    <t>United Parcel Services</t>
  </si>
  <si>
    <t>Building Occupancy Indirects</t>
  </si>
  <si>
    <t>Building Occupancy Payments to DMB</t>
  </si>
  <si>
    <t>Attorney General Fees</t>
  </si>
  <si>
    <t>Supplies &amp; Materials  (11)</t>
  </si>
  <si>
    <t>Dues</t>
  </si>
  <si>
    <t>Subscriptions</t>
  </si>
  <si>
    <t>Postage</t>
  </si>
  <si>
    <t>Office Supplies &amp; Printed Matter</t>
  </si>
  <si>
    <t xml:space="preserve">Office Supplies </t>
  </si>
  <si>
    <t>Printing, Non-DMB</t>
  </si>
  <si>
    <t>Miscellaneous Supplies</t>
  </si>
  <si>
    <t>Freedom of Information</t>
  </si>
  <si>
    <t>Procurement Card Purch</t>
  </si>
  <si>
    <t>Equipment  (12)</t>
  </si>
  <si>
    <t>Equip Non Capitalize Purch Less than $5,000</t>
  </si>
  <si>
    <t>Equipment Lease &amp; Rental Pmts</t>
  </si>
  <si>
    <t>Movable Partitions</t>
  </si>
  <si>
    <t>Grants (13)</t>
  </si>
  <si>
    <t>Pmts to Individuals and Private Groups</t>
  </si>
  <si>
    <t>Fiscal and Interest Payments (14)</t>
  </si>
  <si>
    <t>Miscellaneous (15)</t>
  </si>
  <si>
    <t>Legal Services and Settlement (16)</t>
  </si>
  <si>
    <t>Cost Allocations (17)</t>
  </si>
  <si>
    <t>Charges From DIT (18)</t>
  </si>
  <si>
    <t>Purchased Services:  Information Tech</t>
  </si>
  <si>
    <t>Indirect Salaries (22)</t>
  </si>
  <si>
    <t>Movement of Indirect Salaries</t>
  </si>
  <si>
    <t>TOTALS</t>
  </si>
  <si>
    <t>Trav Exp Out of State Non-Emp Nonrep</t>
  </si>
  <si>
    <t>0738</t>
  </si>
  <si>
    <t>Hotel-GRP Lodging (Dir Bill) In State 1099</t>
  </si>
  <si>
    <t>Travel Exp Reim Non-Employee Nonreport</t>
  </si>
  <si>
    <t>Utilities- Gas</t>
  </si>
  <si>
    <t>Utilities-Water</t>
  </si>
  <si>
    <t>Other Purch Svs-Laundry</t>
  </si>
  <si>
    <t>Other Fees &amp; Comp-Witness Fees</t>
  </si>
  <si>
    <t>Maintenance Services - Equipment Repairs</t>
  </si>
  <si>
    <t>Non-State Ownded Bldg Rental or Lease</t>
  </si>
  <si>
    <t>Consulting Services (10)</t>
  </si>
  <si>
    <t>Consulting Svs - Non State Employees</t>
  </si>
  <si>
    <t>Food and Beverages</t>
  </si>
  <si>
    <t>Fuel-Liquid Propane</t>
  </si>
  <si>
    <t>Replacement Parts</t>
  </si>
  <si>
    <t>License/Certifications</t>
  </si>
  <si>
    <t>Equip Capitalize Purch $5,000 or Greater</t>
  </si>
  <si>
    <t>Payments on Behalf of Individuals</t>
  </si>
  <si>
    <t>Common Cash Interest Expense</t>
  </si>
  <si>
    <t>Educational Assistance Pymt-Nontax-Empl</t>
  </si>
  <si>
    <t>Court Judgement/Settlements-1099 Report</t>
  </si>
  <si>
    <t>ARF-Fringes Debits and Credits</t>
  </si>
  <si>
    <t>ARF Travel Debits and Credits</t>
  </si>
  <si>
    <t>ARF-Salary Debits and Credits</t>
  </si>
  <si>
    <t>ARF Debits and Credits</t>
  </si>
  <si>
    <t>Client Services and BEP (21)</t>
  </si>
  <si>
    <t>VR - Other Purchases Servs (1099 Report)</t>
  </si>
  <si>
    <t>VR - Freight Cafeteria</t>
  </si>
  <si>
    <t>BEP - Freight VM</t>
  </si>
  <si>
    <t>BEP - Equipment Transfers OL</t>
  </si>
  <si>
    <t>BEP - Equipment Transfers Cafeteria</t>
  </si>
  <si>
    <t>BEP - Equipment Transfers VM</t>
  </si>
  <si>
    <t>BEP - Other Fees/Comp For Training</t>
  </si>
  <si>
    <t>VR - School Food and Beverages</t>
  </si>
  <si>
    <t>BEP - Maintenance Serv's Labor Cafeteria</t>
  </si>
  <si>
    <t>BEP - Maintenance Services Labor VM</t>
  </si>
  <si>
    <t>BEP - Replacement Parts Cafeteria</t>
  </si>
  <si>
    <t>BEP - Replacement Parts VM</t>
  </si>
  <si>
    <t>BEP - Food and Beverage - Replenish</t>
  </si>
  <si>
    <t>BEP - Food and Beverage - Expansion</t>
  </si>
  <si>
    <t>BEP - Food and Beverage - Loss</t>
  </si>
  <si>
    <t>VR - Payments on Behalf of Individuals</t>
  </si>
  <si>
    <t>BEP - Travel/Service Calls OL</t>
  </si>
  <si>
    <t>BEP - Travel/Service Calls Cafeteria</t>
  </si>
  <si>
    <t>VR - Pmts to Individuals and Private Grps</t>
  </si>
  <si>
    <t>BEP - Travel/Service Calls VM</t>
  </si>
  <si>
    <t>Medical Equipment</t>
  </si>
  <si>
    <t>Medical Expenses</t>
  </si>
  <si>
    <t>Purchased Hlth Related Svs-1099 Report</t>
  </si>
  <si>
    <t>Other Fees &amp; Comp-Inspects/investigation</t>
  </si>
  <si>
    <t>Payments to Univ (Big 3 or Quasi Extrnl)</t>
  </si>
  <si>
    <t>Unemployment Insurance Claims</t>
  </si>
  <si>
    <t>Other Common Carrier - In State</t>
  </si>
  <si>
    <t>Cash Transfer Expenditure Credit</t>
  </si>
  <si>
    <t>Was Sally Postal  C-47#1170</t>
  </si>
  <si>
    <t>Projection of MRS Expenses - Overall</t>
  </si>
  <si>
    <t>Supplemental Pension Payments</t>
  </si>
  <si>
    <t>Conferences and Seminars, Out of State</t>
  </si>
  <si>
    <t>Workers Compensation - Program Line</t>
  </si>
  <si>
    <t>Maintenance Supplies</t>
  </si>
  <si>
    <t>Mon-Tax Employee Exp Reim - Out of State</t>
  </si>
  <si>
    <t>$4,929.51 each month</t>
  </si>
  <si>
    <t xml:space="preserve">  Travel</t>
  </si>
  <si>
    <t xml:space="preserve">  Legal Services and Settlements</t>
  </si>
  <si>
    <t>Donations</t>
  </si>
  <si>
    <t>BEP Retirement</t>
  </si>
  <si>
    <t>Prior Month Balance</t>
  </si>
  <si>
    <t>5/11</t>
  </si>
  <si>
    <t>Was Sue Anderson Part time Escanaba Office  C-47#1591</t>
  </si>
  <si>
    <t>Was Sue Anderson Part time Gaylord Office  C-47#1590</t>
  </si>
  <si>
    <t>Monthly Change to Liquor Inventory</t>
  </si>
  <si>
    <r>
      <t xml:space="preserve">Secretary 8    </t>
    </r>
    <r>
      <rPr>
        <b/>
        <i/>
        <sz val="12"/>
        <rFont val="Arial"/>
        <family val="2"/>
      </rPr>
      <t xml:space="preserve"> ON HOLD</t>
    </r>
  </si>
  <si>
    <r>
      <t xml:space="preserve">Secretary 8     </t>
    </r>
    <r>
      <rPr>
        <b/>
        <i/>
        <sz val="12"/>
        <rFont val="Arial"/>
        <family val="2"/>
      </rPr>
      <t>ON HOLD</t>
    </r>
  </si>
  <si>
    <r>
      <t xml:space="preserve">General Office Assistant     </t>
    </r>
    <r>
      <rPr>
        <b/>
        <i/>
        <sz val="12"/>
        <rFont val="Arial"/>
        <family val="2"/>
      </rPr>
      <t xml:space="preserve"> ON HOLD</t>
    </r>
  </si>
  <si>
    <t>GF Reductions:  $142,661 Retirement Reductions</t>
  </si>
  <si>
    <t>FY 2011 Financial Report - June 2011</t>
  </si>
  <si>
    <t xml:space="preserve"> YTD thru June 2011</t>
  </si>
  <si>
    <t>June 2011</t>
  </si>
  <si>
    <t>Oct-June</t>
  </si>
  <si>
    <t>Per Shirley's worksheet</t>
  </si>
  <si>
    <t>$200,000 Boone/$105,000 Robinson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</si>
</sst>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"/>
    <numFmt numFmtId="166" formatCode="0.0%"/>
    <numFmt numFmtId="167" formatCode="#,##0.0_);\(#,##0.0\)"/>
    <numFmt numFmtId="168" formatCode="mm/dd/yy"/>
    <numFmt numFmtId="169" formatCode="m/d/yy"/>
    <numFmt numFmtId="170" formatCode="0_);\(0\)"/>
    <numFmt numFmtId="171" formatCode="m/d/yy;@"/>
    <numFmt numFmtId="172" formatCode="mm/dd/yy_)"/>
    <numFmt numFmtId="173" formatCode="0.0_);\(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10">
    <font>
      <sz val="12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u val="single"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164" fontId="0" fillId="2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9" fontId="8" fillId="0" borderId="0" applyFont="0" applyFill="0" applyBorder="0" applyAlignment="0" applyProtection="0"/>
  </cellStyleXfs>
  <cellXfs count="208">
    <xf numFmtId="164" fontId="0" fillId="2" borderId="0" xfId="0" applyNumberFormat="1" applyAlignment="1">
      <alignment/>
    </xf>
    <xf numFmtId="37" fontId="0" fillId="2" borderId="0" xfId="0" applyNumberFormat="1" applyAlignment="1">
      <alignment/>
    </xf>
    <xf numFmtId="166" fontId="0" fillId="2" borderId="0" xfId="0" applyNumberFormat="1" applyAlignment="1">
      <alignment/>
    </xf>
    <xf numFmtId="0" fontId="0" fillId="2" borderId="0" xfId="24" applyNumberFormat="1">
      <alignment/>
      <protection/>
    </xf>
    <xf numFmtId="0" fontId="0" fillId="2" borderId="0" xfId="22" applyNumberFormat="1" applyAlignment="1">
      <alignment horizontal="centerContinuous"/>
      <protection/>
    </xf>
    <xf numFmtId="0" fontId="0" fillId="2" borderId="0" xfId="22" applyNumberFormat="1">
      <alignment/>
      <protection/>
    </xf>
    <xf numFmtId="0" fontId="1" fillId="2" borderId="1" xfId="22" applyNumberFormat="1" applyFont="1" applyBorder="1" applyAlignment="1">
      <alignment horizontal="center"/>
      <protection/>
    </xf>
    <xf numFmtId="0" fontId="1" fillId="2" borderId="2" xfId="22" applyNumberFormat="1" applyFont="1" applyBorder="1" applyAlignment="1">
      <alignment horizontal="center"/>
      <protection/>
    </xf>
    <xf numFmtId="0" fontId="0" fillId="2" borderId="2" xfId="22" applyNumberFormat="1" applyBorder="1">
      <alignment/>
      <protection/>
    </xf>
    <xf numFmtId="0" fontId="0" fillId="2" borderId="3" xfId="22" applyNumberFormat="1" applyBorder="1">
      <alignment/>
      <protection/>
    </xf>
    <xf numFmtId="0" fontId="1" fillId="2" borderId="4" xfId="22" applyNumberFormat="1" applyFont="1" applyBorder="1" applyAlignment="1">
      <alignment horizontal="center"/>
      <protection/>
    </xf>
    <xf numFmtId="0" fontId="1" fillId="2" borderId="0" xfId="22" applyNumberFormat="1" applyFont="1" applyAlignment="1">
      <alignment horizontal="center"/>
      <protection/>
    </xf>
    <xf numFmtId="0" fontId="0" fillId="2" borderId="5" xfId="22" applyNumberFormat="1" applyBorder="1">
      <alignment/>
      <protection/>
    </xf>
    <xf numFmtId="0" fontId="1" fillId="2" borderId="6" xfId="22" applyNumberFormat="1" applyFont="1" applyBorder="1" applyAlignment="1">
      <alignment horizontal="center"/>
      <protection/>
    </xf>
    <xf numFmtId="0" fontId="1" fillId="2" borderId="7" xfId="22" applyNumberFormat="1" applyFont="1" applyBorder="1" applyAlignment="1">
      <alignment horizontal="center"/>
      <protection/>
    </xf>
    <xf numFmtId="0" fontId="0" fillId="2" borderId="7" xfId="22" applyNumberFormat="1" applyBorder="1">
      <alignment/>
      <protection/>
    </xf>
    <xf numFmtId="0" fontId="0" fillId="2" borderId="8" xfId="22" applyNumberFormat="1" applyBorder="1">
      <alignment/>
      <protection/>
    </xf>
    <xf numFmtId="37" fontId="0" fillId="2" borderId="0" xfId="22" applyNumberFormat="1">
      <alignment/>
      <protection/>
    </xf>
    <xf numFmtId="0" fontId="0" fillId="2" borderId="0" xfId="22" applyNumberFormat="1" applyAlignment="1">
      <alignment horizontal="center"/>
      <protection/>
    </xf>
    <xf numFmtId="37" fontId="0" fillId="2" borderId="0" xfId="22" applyNumberFormat="1" applyAlignment="1">
      <alignment horizontal="right"/>
      <protection/>
    </xf>
    <xf numFmtId="164" fontId="1" fillId="3" borderId="1" xfId="0" applyNumberFormat="1" applyFont="1" applyFill="1" applyBorder="1" applyAlignment="1">
      <alignment horizontal="centerContinuous"/>
    </xf>
    <xf numFmtId="164" fontId="1" fillId="3" borderId="2" xfId="0" applyNumberFormat="1" applyFont="1" applyFill="1" applyBorder="1" applyAlignment="1">
      <alignment horizontal="centerContinuous"/>
    </xf>
    <xf numFmtId="164" fontId="1" fillId="3" borderId="3" xfId="0" applyNumberFormat="1" applyFont="1" applyFill="1" applyBorder="1" applyAlignment="1">
      <alignment horizontal="centerContinuous"/>
    </xf>
    <xf numFmtId="164" fontId="1" fillId="3" borderId="4" xfId="0" applyNumberFormat="1" applyFont="1" applyFill="1" applyBorder="1" applyAlignment="1">
      <alignment horizontal="centerContinuous"/>
    </xf>
    <xf numFmtId="164" fontId="1" fillId="3" borderId="5" xfId="0" applyNumberFormat="1" applyFont="1" applyFill="1" applyBorder="1" applyAlignment="1">
      <alignment horizontal="centerContinuous"/>
    </xf>
    <xf numFmtId="164" fontId="1" fillId="3" borderId="6" xfId="0" applyNumberFormat="1" applyFont="1" applyFill="1" applyBorder="1" applyAlignment="1">
      <alignment horizontal="centerContinuous"/>
    </xf>
    <xf numFmtId="164" fontId="1" fillId="3" borderId="7" xfId="0" applyNumberFormat="1" applyFont="1" applyFill="1" applyBorder="1" applyAlignment="1">
      <alignment horizontal="centerContinuous"/>
    </xf>
    <xf numFmtId="164" fontId="1" fillId="3" borderId="8" xfId="0" applyNumberFormat="1" applyFont="1" applyFill="1" applyBorder="1" applyAlignment="1">
      <alignment horizontal="centerContinuous"/>
    </xf>
    <xf numFmtId="0" fontId="0" fillId="2" borderId="0" xfId="22" applyNumberFormat="1" applyFont="1" applyAlignment="1">
      <alignment horizontal="left"/>
      <protection/>
    </xf>
    <xf numFmtId="0" fontId="1" fillId="2" borderId="0" xfId="21" applyNumberFormat="1" applyFont="1" applyAlignment="1">
      <alignment horizontal="left"/>
      <protection/>
    </xf>
    <xf numFmtId="3" fontId="0" fillId="2" borderId="0" xfId="0" applyNumberFormat="1" applyAlignment="1">
      <alignment/>
    </xf>
    <xf numFmtId="164" fontId="1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Continuous"/>
    </xf>
    <xf numFmtId="164" fontId="1" fillId="0" borderId="1" xfId="0" applyNumberFormat="1" applyFont="1" applyFill="1" applyBorder="1" applyAlignment="1">
      <alignment horizontal="centerContinuous"/>
    </xf>
    <xf numFmtId="164" fontId="0" fillId="0" borderId="0" xfId="0" applyNumberFormat="1" applyFill="1" applyAlignment="1">
      <alignment horizontal="centerContinuous"/>
    </xf>
    <xf numFmtId="164" fontId="1" fillId="0" borderId="4" xfId="0" applyNumberFormat="1" applyFont="1" applyFill="1" applyBorder="1" applyAlignment="1">
      <alignment horizontal="centerContinuous"/>
    </xf>
    <xf numFmtId="164" fontId="0" fillId="0" borderId="0" xfId="0" applyNumberFormat="1" applyFill="1" applyAlignment="1">
      <alignment/>
    </xf>
    <xf numFmtId="164" fontId="1" fillId="0" borderId="9" xfId="0" applyNumberFormat="1" applyFont="1" applyFill="1" applyBorder="1" applyAlignment="1">
      <alignment horizontal="centerContinuous"/>
    </xf>
    <xf numFmtId="164" fontId="0" fillId="0" borderId="10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4" fontId="0" fillId="0" borderId="5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0" fillId="0" borderId="14" xfId="0" applyNumberFormat="1" applyFill="1" applyBorder="1" applyAlignment="1">
      <alignment/>
    </xf>
    <xf numFmtId="164" fontId="1" fillId="0" borderId="13" xfId="0" applyNumberFormat="1" applyFont="1" applyFill="1" applyBorder="1" applyAlignment="1">
      <alignment horizontal="centerContinuous"/>
    </xf>
    <xf numFmtId="164" fontId="0" fillId="0" borderId="2" xfId="0" applyNumberFormat="1" applyFill="1" applyBorder="1" applyAlignment="1">
      <alignment horizontal="centerContinuous"/>
    </xf>
    <xf numFmtId="164" fontId="0" fillId="0" borderId="1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5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Continuous"/>
    </xf>
    <xf numFmtId="164" fontId="0" fillId="0" borderId="18" xfId="0" applyNumberFormat="1" applyFill="1" applyBorder="1" applyAlignment="1">
      <alignment horizontal="centerContinuous"/>
    </xf>
    <xf numFmtId="164" fontId="0" fillId="0" borderId="16" xfId="0" applyNumberFormat="1" applyFill="1" applyBorder="1" applyAlignment="1">
      <alignment horizontal="centerContinuous"/>
    </xf>
    <xf numFmtId="164" fontId="0" fillId="0" borderId="19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164" fontId="1" fillId="0" borderId="22" xfId="0" applyNumberFormat="1" applyFont="1" applyFill="1" applyBorder="1" applyAlignment="1">
      <alignment/>
    </xf>
    <xf numFmtId="37" fontId="0" fillId="0" borderId="28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5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37" fontId="0" fillId="0" borderId="29" xfId="0" applyNumberFormat="1" applyFill="1" applyBorder="1" applyAlignment="1">
      <alignment/>
    </xf>
    <xf numFmtId="37" fontId="0" fillId="0" borderId="25" xfId="0" applyNumberFormat="1" applyFill="1" applyBorder="1" applyAlignment="1">
      <alignment/>
    </xf>
    <xf numFmtId="37" fontId="0" fillId="0" borderId="30" xfId="0" applyNumberFormat="1" applyFill="1" applyBorder="1" applyAlignment="1">
      <alignment/>
    </xf>
    <xf numFmtId="164" fontId="0" fillId="0" borderId="25" xfId="0" applyNumberFormat="1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6" fontId="0" fillId="0" borderId="23" xfId="0" applyNumberFormat="1" applyFill="1" applyBorder="1" applyAlignment="1">
      <alignment/>
    </xf>
    <xf numFmtId="37" fontId="0" fillId="0" borderId="23" xfId="0" applyNumberFormat="1" applyFill="1" applyBorder="1" applyAlignment="1">
      <alignment/>
    </xf>
    <xf numFmtId="37" fontId="0" fillId="0" borderId="7" xfId="0" applyNumberFormat="1" applyFill="1" applyBorder="1" applyAlignment="1">
      <alignment/>
    </xf>
    <xf numFmtId="37" fontId="0" fillId="0" borderId="8" xfId="0" applyNumberFormat="1" applyFill="1" applyBorder="1" applyAlignment="1">
      <alignment/>
    </xf>
    <xf numFmtId="37" fontId="1" fillId="0" borderId="0" xfId="0" applyNumberFormat="1" applyFont="1" applyFill="1" applyAlignment="1">
      <alignment/>
    </xf>
    <xf numFmtId="164" fontId="0" fillId="0" borderId="31" xfId="0" applyNumberFormat="1" applyFill="1" applyBorder="1" applyAlignment="1">
      <alignment/>
    </xf>
    <xf numFmtId="37" fontId="0" fillId="0" borderId="32" xfId="0" applyNumberFormat="1" applyFill="1" applyBorder="1" applyAlignment="1">
      <alignment/>
    </xf>
    <xf numFmtId="164" fontId="0" fillId="0" borderId="0" xfId="0" applyNumberFormat="1" applyFill="1" applyAlignment="1">
      <alignment horizontal="right"/>
    </xf>
    <xf numFmtId="37" fontId="0" fillId="0" borderId="2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7" fontId="0" fillId="0" borderId="20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7" fontId="0" fillId="0" borderId="33" xfId="0" applyNumberFormat="1" applyFill="1" applyBorder="1" applyAlignment="1">
      <alignment/>
    </xf>
    <xf numFmtId="164" fontId="1" fillId="3" borderId="0" xfId="0" applyNumberFormat="1" applyFont="1" applyFill="1" applyBorder="1" applyAlignment="1">
      <alignment horizontal="centerContinuous"/>
    </xf>
    <xf numFmtId="164" fontId="0" fillId="0" borderId="34" xfId="0" applyNumberFormat="1" applyFill="1" applyBorder="1" applyAlignment="1">
      <alignment/>
    </xf>
    <xf numFmtId="37" fontId="0" fillId="0" borderId="27" xfId="0" applyNumberFormat="1" applyFill="1" applyBorder="1" applyAlignment="1">
      <alignment/>
    </xf>
    <xf numFmtId="0" fontId="0" fillId="0" borderId="0" xfId="24" applyNumberFormat="1" applyFont="1" applyFill="1">
      <alignment/>
      <protection/>
    </xf>
    <xf numFmtId="39" fontId="0" fillId="0" borderId="0" xfId="24" applyNumberFormat="1" applyFont="1" applyFill="1">
      <alignment/>
      <protection/>
    </xf>
    <xf numFmtId="167" fontId="0" fillId="0" borderId="0" xfId="24" applyNumberFormat="1" applyFont="1" applyFill="1">
      <alignment/>
      <protection/>
    </xf>
    <xf numFmtId="0" fontId="0" fillId="0" borderId="0" xfId="24" applyNumberFormat="1" applyFont="1" applyFill="1" applyAlignment="1">
      <alignment horizontal="center"/>
      <protection/>
    </xf>
    <xf numFmtId="39" fontId="3" fillId="0" borderId="0" xfId="24" applyNumberFormat="1" applyFont="1" applyFill="1">
      <alignment/>
      <protection/>
    </xf>
    <xf numFmtId="39" fontId="4" fillId="0" borderId="0" xfId="24" applyNumberFormat="1" applyFont="1" applyFill="1">
      <alignment/>
      <protection/>
    </xf>
    <xf numFmtId="39" fontId="0" fillId="0" borderId="7" xfId="24" applyNumberFormat="1" applyFont="1" applyFill="1" applyBorder="1">
      <alignment/>
      <protection/>
    </xf>
    <xf numFmtId="0" fontId="1" fillId="0" borderId="0" xfId="24" applyNumberFormat="1" applyFont="1" applyFill="1">
      <alignment/>
      <protection/>
    </xf>
    <xf numFmtId="167" fontId="0" fillId="0" borderId="0" xfId="24" applyNumberFormat="1" applyFont="1" applyFill="1" applyAlignment="1">
      <alignment horizontal="center"/>
      <protection/>
    </xf>
    <xf numFmtId="39" fontId="0" fillId="0" borderId="0" xfId="24" applyNumberFormat="1" applyFont="1" applyFill="1" applyAlignment="1">
      <alignment horizontal="center"/>
      <protection/>
    </xf>
    <xf numFmtId="168" fontId="0" fillId="0" borderId="0" xfId="24" applyNumberFormat="1" applyFont="1" applyFill="1">
      <alignment/>
      <protection/>
    </xf>
    <xf numFmtId="0" fontId="0" fillId="0" borderId="0" xfId="24" applyNumberFormat="1" applyFont="1" applyFill="1" applyAlignment="1">
      <alignment horizontal="centerContinuous" wrapText="1"/>
      <protection/>
    </xf>
    <xf numFmtId="167" fontId="0" fillId="0" borderId="0" xfId="24" applyNumberFormat="1" applyFont="1" applyFill="1" applyAlignment="1">
      <alignment horizontal="centerContinuous" wrapText="1"/>
      <protection/>
    </xf>
    <xf numFmtId="0" fontId="4" fillId="0" borderId="0" xfId="24" applyNumberFormat="1" applyFont="1" applyFill="1" applyAlignment="1">
      <alignment horizontal="centerContinuous" wrapText="1"/>
      <protection/>
    </xf>
    <xf numFmtId="4" fontId="0" fillId="0" borderId="0" xfId="24" applyNumberFormat="1" applyFont="1" applyFill="1">
      <alignment/>
      <protection/>
    </xf>
    <xf numFmtId="2" fontId="0" fillId="0" borderId="0" xfId="24" applyNumberFormat="1" applyFont="1" applyFill="1">
      <alignment/>
      <protection/>
    </xf>
    <xf numFmtId="39" fontId="1" fillId="0" borderId="0" xfId="24" applyNumberFormat="1" applyFont="1" applyFill="1">
      <alignment/>
      <protection/>
    </xf>
    <xf numFmtId="167" fontId="1" fillId="0" borderId="0" xfId="24" applyNumberFormat="1" applyFont="1" applyFill="1">
      <alignment/>
      <protection/>
    </xf>
    <xf numFmtId="39" fontId="1" fillId="0" borderId="35" xfId="24" applyNumberFormat="1" applyFont="1" applyFill="1" applyBorder="1">
      <alignment/>
      <protection/>
    </xf>
    <xf numFmtId="0" fontId="1" fillId="0" borderId="0" xfId="24" applyNumberFormat="1" applyFont="1" applyFill="1" applyAlignment="1">
      <alignment horizontal="left"/>
      <protection/>
    </xf>
    <xf numFmtId="0" fontId="0" fillId="0" borderId="0" xfId="24" applyNumberFormat="1" applyFont="1" applyFill="1" applyAlignment="1">
      <alignment horizontal="centerContinuous"/>
      <protection/>
    </xf>
    <xf numFmtId="0" fontId="1" fillId="0" borderId="0" xfId="24" applyNumberFormat="1" applyFont="1" applyFill="1" applyAlignment="1">
      <alignment horizontal="center"/>
      <protection/>
    </xf>
    <xf numFmtId="0" fontId="1" fillId="0" borderId="0" xfId="24" applyNumberFormat="1" applyFont="1" applyFill="1" applyAlignment="1">
      <alignment horizontal="centerContinuous"/>
      <protection/>
    </xf>
    <xf numFmtId="39" fontId="1" fillId="0" borderId="0" xfId="24" applyNumberFormat="1" applyFont="1" applyFill="1" applyAlignment="1">
      <alignment horizontal="centerContinuous"/>
      <protection/>
    </xf>
    <xf numFmtId="167" fontId="0" fillId="0" borderId="0" xfId="24" applyNumberFormat="1" applyFont="1" applyFill="1" applyAlignment="1">
      <alignment horizontal="centerContinuous"/>
      <protection/>
    </xf>
    <xf numFmtId="0" fontId="0" fillId="0" borderId="0" xfId="24" applyNumberFormat="1" applyFill="1">
      <alignment/>
      <protection/>
    </xf>
    <xf numFmtId="164" fontId="0" fillId="0" borderId="34" xfId="0" applyNumberFormat="1" applyFill="1" applyBorder="1" applyAlignment="1">
      <alignment horizontal="left"/>
    </xf>
    <xf numFmtId="37" fontId="0" fillId="0" borderId="0" xfId="0" applyNumberFormat="1" applyFill="1" applyBorder="1" applyAlignment="1">
      <alignment/>
    </xf>
    <xf numFmtId="37" fontId="0" fillId="0" borderId="36" xfId="0" applyNumberFormat="1" applyFill="1" applyBorder="1" applyAlignment="1">
      <alignment/>
    </xf>
    <xf numFmtId="37" fontId="0" fillId="0" borderId="37" xfId="0" applyNumberFormat="1" applyFill="1" applyBorder="1" applyAlignment="1">
      <alignment/>
    </xf>
    <xf numFmtId="0" fontId="0" fillId="2" borderId="0" xfId="22" applyNumberFormat="1" applyFont="1">
      <alignment/>
      <protection/>
    </xf>
    <xf numFmtId="170" fontId="0" fillId="2" borderId="0" xfId="22" applyNumberFormat="1">
      <alignment/>
      <protection/>
    </xf>
    <xf numFmtId="1" fontId="0" fillId="0" borderId="5" xfId="0" applyNumberFormat="1" applyFill="1" applyBorder="1" applyAlignment="1" quotePrefix="1">
      <alignment horizontal="right"/>
    </xf>
    <xf numFmtId="3" fontId="0" fillId="2" borderId="0" xfId="22" applyNumberFormat="1">
      <alignment/>
      <protection/>
    </xf>
    <xf numFmtId="37" fontId="0" fillId="2" borderId="0" xfId="22" applyNumberFormat="1" applyFont="1" applyAlignment="1">
      <alignment horizontal="right"/>
      <protection/>
    </xf>
    <xf numFmtId="37" fontId="3" fillId="0" borderId="0" xfId="0" applyNumberFormat="1" applyFont="1" applyFill="1" applyAlignment="1">
      <alignment horizontal="left"/>
    </xf>
    <xf numFmtId="0" fontId="0" fillId="2" borderId="0" xfId="21" applyNumberFormat="1" applyAlignment="1">
      <alignment horizontal="left"/>
      <protection/>
    </xf>
    <xf numFmtId="167" fontId="0" fillId="0" borderId="0" xfId="0" applyNumberFormat="1" applyFont="1" applyFill="1" applyBorder="1" applyAlignment="1">
      <alignment horizontal="center"/>
    </xf>
    <xf numFmtId="0" fontId="3" fillId="0" borderId="0" xfId="24" applyNumberFormat="1" applyFont="1" applyFill="1">
      <alignment/>
      <protection/>
    </xf>
    <xf numFmtId="4" fontId="0" fillId="0" borderId="0" xfId="24" applyNumberFormat="1" applyFont="1" applyFill="1" applyAlignment="1">
      <alignment horizontal="center"/>
      <protection/>
    </xf>
    <xf numFmtId="39" fontId="0" fillId="0" borderId="0" xfId="24" applyNumberFormat="1" applyFont="1" applyFill="1" applyBorder="1">
      <alignment/>
      <protection/>
    </xf>
    <xf numFmtId="39" fontId="0" fillId="0" borderId="38" xfId="24" applyNumberFormat="1" applyFont="1" applyFill="1" applyBorder="1">
      <alignment/>
      <protection/>
    </xf>
    <xf numFmtId="166" fontId="0" fillId="0" borderId="25" xfId="0" applyNumberFormat="1" applyFill="1" applyBorder="1" applyAlignment="1">
      <alignment/>
    </xf>
    <xf numFmtId="37" fontId="0" fillId="0" borderId="39" xfId="0" applyNumberFormat="1" applyFill="1" applyBorder="1" applyAlignment="1">
      <alignment/>
    </xf>
    <xf numFmtId="164" fontId="0" fillId="2" borderId="0" xfId="0" applyNumberFormat="1" applyAlignment="1">
      <alignment/>
    </xf>
    <xf numFmtId="164" fontId="0" fillId="0" borderId="40" xfId="0" applyNumberFormat="1" applyFill="1" applyBorder="1" applyAlignment="1">
      <alignment/>
    </xf>
    <xf numFmtId="171" fontId="0" fillId="0" borderId="0" xfId="24" applyNumberFormat="1" applyFont="1" applyFill="1" quotePrefix="1">
      <alignment/>
      <protection/>
    </xf>
    <xf numFmtId="0" fontId="7" fillId="0" borderId="0" xfId="24" applyNumberFormat="1" applyFont="1" applyFill="1">
      <alignment/>
      <protection/>
    </xf>
    <xf numFmtId="39" fontId="7" fillId="0" borderId="0" xfId="24" applyNumberFormat="1" applyFont="1" applyFill="1" applyAlignment="1">
      <alignment horizontal="center"/>
      <protection/>
    </xf>
    <xf numFmtId="0" fontId="7" fillId="0" borderId="0" xfId="24" applyNumberFormat="1" applyFont="1" applyFill="1" applyAlignment="1">
      <alignment horizontal="center"/>
      <protection/>
    </xf>
    <xf numFmtId="167" fontId="7" fillId="0" borderId="0" xfId="24" applyNumberFormat="1" applyFont="1" applyFill="1" applyAlignment="1">
      <alignment horizontal="center"/>
      <protection/>
    </xf>
    <xf numFmtId="164" fontId="0" fillId="2" borderId="0" xfId="0" applyNumberFormat="1" applyBorder="1" applyAlignment="1">
      <alignment/>
    </xf>
    <xf numFmtId="37" fontId="0" fillId="0" borderId="41" xfId="0" applyNumberFormat="1" applyFill="1" applyBorder="1" applyAlignment="1">
      <alignment/>
    </xf>
    <xf numFmtId="37" fontId="0" fillId="0" borderId="42" xfId="0" applyNumberFormat="1" applyFill="1" applyBorder="1" applyAlignment="1">
      <alignment/>
    </xf>
    <xf numFmtId="164" fontId="0" fillId="0" borderId="0" xfId="0" applyNumberFormat="1" applyFill="1" applyAlignment="1">
      <alignment horizontal="left" wrapText="1"/>
    </xf>
    <xf numFmtId="164" fontId="0" fillId="2" borderId="0" xfId="0" applyNumberFormat="1" applyAlignment="1">
      <alignment wrapText="1"/>
    </xf>
    <xf numFmtId="164" fontId="1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wrapText="1"/>
    </xf>
    <xf numFmtId="168" fontId="0" fillId="0" borderId="0" xfId="24" applyNumberFormat="1" applyFont="1" applyFill="1" quotePrefix="1">
      <alignment/>
      <protection/>
    </xf>
    <xf numFmtId="0" fontId="0" fillId="2" borderId="0" xfId="24" applyNumberFormat="1" applyFont="1">
      <alignment/>
      <protection/>
    </xf>
    <xf numFmtId="39" fontId="0" fillId="0" borderId="38" xfId="24" applyNumberFormat="1" applyFill="1" applyBorder="1">
      <alignment/>
      <protection/>
    </xf>
    <xf numFmtId="16" fontId="0" fillId="0" borderId="0" xfId="24" applyNumberFormat="1" applyFont="1" applyFill="1" quotePrefix="1">
      <alignment/>
      <protection/>
    </xf>
    <xf numFmtId="0" fontId="8" fillId="0" borderId="0" xfId="24" applyNumberFormat="1" applyFont="1" applyFill="1">
      <alignment/>
      <protection/>
    </xf>
    <xf numFmtId="39" fontId="0" fillId="0" borderId="0" xfId="24" applyNumberFormat="1" applyFont="1" applyFill="1" applyAlignment="1">
      <alignment horizontal="right"/>
      <protection/>
    </xf>
    <xf numFmtId="39" fontId="0" fillId="0" borderId="0" xfId="24" applyNumberFormat="1" applyFont="1" applyFill="1" applyBorder="1" applyAlignment="1">
      <alignment horizontal="right"/>
      <protection/>
    </xf>
    <xf numFmtId="37" fontId="0" fillId="4" borderId="43" xfId="25" applyNumberFormat="1" applyFill="1" applyBorder="1" applyProtection="1">
      <alignment/>
      <protection/>
    </xf>
    <xf numFmtId="0" fontId="3" fillId="0" borderId="0" xfId="25" applyFont="1" applyAlignment="1" applyProtection="1">
      <alignment horizontal="centerContinuous"/>
      <protection/>
    </xf>
    <xf numFmtId="0" fontId="0" fillId="0" borderId="0" xfId="25" applyAlignment="1" applyProtection="1">
      <alignment horizontal="centerContinuous"/>
      <protection/>
    </xf>
    <xf numFmtId="37" fontId="0" fillId="0" borderId="0" xfId="25" applyNumberFormat="1" applyAlignment="1" applyProtection="1">
      <alignment horizontal="centerContinuous"/>
      <protection/>
    </xf>
    <xf numFmtId="0" fontId="0" fillId="0" borderId="0" xfId="25">
      <alignment/>
      <protection/>
    </xf>
    <xf numFmtId="49" fontId="3" fillId="0" borderId="0" xfId="25" applyNumberFormat="1" applyFont="1" applyAlignment="1" applyProtection="1">
      <alignment horizontal="centerContinuous"/>
      <protection/>
    </xf>
    <xf numFmtId="0" fontId="3" fillId="0" borderId="0" xfId="25" applyFont="1" applyProtection="1">
      <alignment/>
      <protection/>
    </xf>
    <xf numFmtId="37" fontId="0" fillId="0" borderId="0" xfId="25" applyNumberFormat="1">
      <alignment/>
      <protection/>
    </xf>
    <xf numFmtId="0" fontId="0" fillId="0" borderId="0" xfId="25" applyProtection="1">
      <alignment/>
      <protection/>
    </xf>
    <xf numFmtId="37" fontId="3" fillId="0" borderId="0" xfId="25" applyNumberFormat="1" applyFont="1" applyAlignment="1" applyProtection="1">
      <alignment horizontal="centerContinuous"/>
      <protection/>
    </xf>
    <xf numFmtId="37" fontId="3" fillId="0" borderId="0" xfId="25" applyNumberFormat="1" applyFont="1" applyAlignment="1" applyProtection="1">
      <alignment horizontal="center"/>
      <protection/>
    </xf>
    <xf numFmtId="37" fontId="3" fillId="0" borderId="0" xfId="25" applyNumberFormat="1" applyFont="1" applyProtection="1">
      <alignment/>
      <protection/>
    </xf>
    <xf numFmtId="0" fontId="3" fillId="0" borderId="0" xfId="25" applyFont="1">
      <alignment/>
      <protection/>
    </xf>
    <xf numFmtId="37" fontId="3" fillId="0" borderId="0" xfId="25" applyNumberFormat="1" applyFont="1">
      <alignment/>
      <protection/>
    </xf>
    <xf numFmtId="0" fontId="0" fillId="0" borderId="0" xfId="25" applyFont="1">
      <alignment/>
      <protection/>
    </xf>
    <xf numFmtId="37" fontId="0" fillId="5" borderId="0" xfId="25" applyNumberFormat="1" applyFill="1" applyProtection="1">
      <alignment/>
      <protection/>
    </xf>
    <xf numFmtId="37" fontId="0" fillId="0" borderId="0" xfId="25" applyNumberFormat="1" applyProtection="1">
      <alignment/>
      <protection/>
    </xf>
    <xf numFmtId="37" fontId="0" fillId="4" borderId="0" xfId="25" applyNumberFormat="1" applyFill="1" applyProtection="1">
      <alignment/>
      <protection/>
    </xf>
    <xf numFmtId="37" fontId="0" fillId="2" borderId="0" xfId="25" applyNumberFormat="1" applyFill="1" applyProtection="1">
      <alignment/>
      <protection/>
    </xf>
    <xf numFmtId="37" fontId="0" fillId="0" borderId="7" xfId="25" applyNumberFormat="1" applyBorder="1" applyProtection="1">
      <alignment/>
      <protection/>
    </xf>
    <xf numFmtId="37" fontId="0" fillId="0" borderId="10" xfId="25" applyNumberFormat="1" applyBorder="1" applyProtection="1">
      <alignment/>
      <protection/>
    </xf>
    <xf numFmtId="37" fontId="0" fillId="0" borderId="0" xfId="25" applyNumberFormat="1" applyBorder="1" applyProtection="1">
      <alignment/>
      <protection/>
    </xf>
    <xf numFmtId="37" fontId="3" fillId="0" borderId="0" xfId="25" applyNumberFormat="1" applyFont="1" applyBorder="1" applyProtection="1">
      <alignment/>
      <protection/>
    </xf>
    <xf numFmtId="37" fontId="0" fillId="6" borderId="0" xfId="25" applyNumberFormat="1" applyFill="1" applyProtection="1">
      <alignment/>
      <protection/>
    </xf>
    <xf numFmtId="0" fontId="0" fillId="0" borderId="0" xfId="25" applyAlignment="1" applyProtection="1" quotePrefix="1">
      <alignment horizontal="right"/>
      <protection/>
    </xf>
    <xf numFmtId="0" fontId="3" fillId="0" borderId="0" xfId="25" applyFont="1" applyBorder="1">
      <alignment/>
      <protection/>
    </xf>
    <xf numFmtId="0" fontId="0" fillId="0" borderId="0" xfId="25" applyFont="1" applyProtection="1">
      <alignment/>
      <protection/>
    </xf>
    <xf numFmtId="0" fontId="0" fillId="0" borderId="0" xfId="25" applyFont="1" applyAlignment="1" applyProtection="1" quotePrefix="1">
      <alignment horizontal="right"/>
      <protection/>
    </xf>
    <xf numFmtId="37" fontId="0" fillId="0" borderId="43" xfId="25" applyNumberFormat="1" applyBorder="1" applyProtection="1">
      <alignment/>
      <protection/>
    </xf>
    <xf numFmtId="37" fontId="0" fillId="0" borderId="43" xfId="25" applyNumberFormat="1" applyBorder="1">
      <alignment/>
      <protection/>
    </xf>
    <xf numFmtId="37" fontId="0" fillId="0" borderId="36" xfId="25" applyNumberFormat="1" applyBorder="1" applyProtection="1">
      <alignment/>
      <protection/>
    </xf>
    <xf numFmtId="164" fontId="0" fillId="0" borderId="0" xfId="0" applyNumberFormat="1" applyFill="1" applyBorder="1" applyAlignment="1">
      <alignment/>
    </xf>
    <xf numFmtId="37" fontId="0" fillId="2" borderId="0" xfId="22" applyNumberFormat="1" applyFont="1">
      <alignment/>
      <protection/>
    </xf>
    <xf numFmtId="37" fontId="0" fillId="4" borderId="44" xfId="25" applyNumberFormat="1" applyFill="1" applyBorder="1" applyProtection="1">
      <alignment/>
      <protection/>
    </xf>
    <xf numFmtId="37" fontId="0" fillId="0" borderId="0" xfId="25" applyNumberFormat="1" applyFont="1" applyProtection="1">
      <alignment/>
      <protection/>
    </xf>
    <xf numFmtId="0" fontId="0" fillId="0" borderId="0" xfId="25" applyFont="1">
      <alignment/>
      <protection/>
    </xf>
    <xf numFmtId="164" fontId="0" fillId="0" borderId="0" xfId="0" applyNumberFormat="1" applyFill="1" applyAlignment="1">
      <alignment horizontal="left"/>
    </xf>
    <xf numFmtId="164" fontId="3" fillId="0" borderId="0" xfId="0" applyNumberFormat="1" applyFont="1" applyFill="1" applyAlignment="1">
      <alignment/>
    </xf>
    <xf numFmtId="164" fontId="0" fillId="2" borderId="0" xfId="0" applyNumberFormat="1" applyAlignment="1">
      <alignment/>
    </xf>
    <xf numFmtId="164" fontId="8" fillId="0" borderId="0" xfId="0" applyNumberFormat="1" applyFont="1" applyFill="1" applyAlignment="1">
      <alignment/>
    </xf>
    <xf numFmtId="164" fontId="8" fillId="2" borderId="0" xfId="0" applyNumberFormat="1" applyFont="1" applyAlignment="1">
      <alignment/>
    </xf>
    <xf numFmtId="37" fontId="3" fillId="0" borderId="0" xfId="0" applyNumberFormat="1" applyFont="1" applyFill="1" applyAlignment="1">
      <alignment horizontal="left"/>
    </xf>
    <xf numFmtId="0" fontId="1" fillId="2" borderId="0" xfId="23" applyNumberFormat="1" applyFont="1" applyAlignment="1">
      <alignment horizontal="left" vertical="center"/>
      <protection/>
    </xf>
    <xf numFmtId="0" fontId="1" fillId="2" borderId="0" xfId="22" applyNumberFormat="1" applyFont="1" applyAlignment="1">
      <alignment horizontal="lef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Notes" xfId="21"/>
    <cellStyle name="Normal_Deputy Director" xfId="22"/>
    <cellStyle name="Normal_FOOTNOTES" xfId="23"/>
    <cellStyle name="Normal_PR Adjustments" xfId="24"/>
    <cellStyle name="Normal_PSCFPMARCH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5"/>
  <sheetViews>
    <sheetView tabSelected="1" showOutlineSymbols="0" zoomScale="87" zoomScaleNormal="87" workbookViewId="0" topLeftCell="A4">
      <pane xSplit="1" ySplit="12" topLeftCell="C16" activePane="bottomRight" state="frozen"/>
      <selection pane="topLeft" activeCell="A4" sqref="A4"/>
      <selection pane="topRight" activeCell="B4" sqref="B4"/>
      <selection pane="bottomLeft" activeCell="A16" sqref="A16"/>
      <selection pane="bottomRight" activeCell="A4" sqref="A4"/>
    </sheetView>
  </sheetViews>
  <sheetFormatPr defaultColWidth="12.77734375" defaultRowHeight="15"/>
  <cols>
    <col min="1" max="1" width="30.21484375" style="0" customWidth="1"/>
    <col min="2" max="2" width="12.99609375" style="0" customWidth="1"/>
    <col min="3" max="3" width="12.21484375" style="0" customWidth="1"/>
    <col min="4" max="4" width="11.77734375" style="0" customWidth="1"/>
    <col min="5" max="5" width="12.77734375" style="0" customWidth="1"/>
    <col min="6" max="6" width="11.77734375" style="0" customWidth="1"/>
    <col min="7" max="7" width="12.77734375" style="0" customWidth="1"/>
    <col min="8" max="8" width="11.77734375" style="0" customWidth="1"/>
    <col min="9" max="11" width="12.77734375" style="0" customWidth="1"/>
    <col min="13" max="13" width="13.21484375" style="0" customWidth="1"/>
    <col min="14" max="14" width="8.77734375" style="0" customWidth="1"/>
  </cols>
  <sheetData>
    <row r="1" spans="1:14" ht="18">
      <c r="A1" s="31" t="s">
        <v>98</v>
      </c>
      <c r="B1" s="31"/>
      <c r="C1" s="32"/>
      <c r="D1" s="20"/>
      <c r="E1" s="21"/>
      <c r="F1" s="21"/>
      <c r="G1" s="21"/>
      <c r="H1" s="21"/>
      <c r="I1" s="21"/>
      <c r="J1" s="22"/>
      <c r="K1" s="31"/>
      <c r="L1" s="31"/>
      <c r="M1" s="31"/>
      <c r="N1" s="34"/>
    </row>
    <row r="2" spans="1:14" ht="15.75">
      <c r="A2" s="31" t="s">
        <v>89</v>
      </c>
      <c r="B2" s="31"/>
      <c r="C2" s="31"/>
      <c r="D2" s="23"/>
      <c r="E2" s="96"/>
      <c r="F2" s="96"/>
      <c r="G2" s="96"/>
      <c r="H2" s="96"/>
      <c r="I2" s="96"/>
      <c r="J2" s="24"/>
      <c r="K2" s="31"/>
      <c r="L2" s="31"/>
      <c r="M2" s="31"/>
      <c r="N2" s="34"/>
    </row>
    <row r="3" spans="1:14" ht="15.75">
      <c r="A3" s="31" t="s">
        <v>274</v>
      </c>
      <c r="B3" s="31"/>
      <c r="C3" s="31"/>
      <c r="D3" s="25"/>
      <c r="E3" s="26"/>
      <c r="F3" s="26"/>
      <c r="G3" s="26"/>
      <c r="H3" s="26"/>
      <c r="I3" s="26"/>
      <c r="J3" s="27"/>
      <c r="K3" s="31"/>
      <c r="L3" s="31"/>
      <c r="M3" s="31"/>
      <c r="N3" s="34"/>
    </row>
    <row r="4" spans="1:14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6"/>
    </row>
    <row r="5" spans="1:14" ht="15.75">
      <c r="A5" s="31"/>
      <c r="B5" s="31"/>
      <c r="C5" s="31"/>
      <c r="D5" s="31"/>
      <c r="E5" s="31"/>
      <c r="F5" s="31"/>
      <c r="G5" s="31"/>
      <c r="H5" s="31"/>
      <c r="I5" s="31"/>
      <c r="J5" s="37" t="s">
        <v>0</v>
      </c>
      <c r="K5" s="38"/>
      <c r="L5" s="38"/>
      <c r="M5" s="38"/>
      <c r="N5" s="39"/>
    </row>
    <row r="6" spans="1:14" ht="15.75">
      <c r="A6" s="31"/>
      <c r="B6" s="31"/>
      <c r="C6" s="31"/>
      <c r="D6" s="31"/>
      <c r="E6" s="31"/>
      <c r="F6" s="31"/>
      <c r="G6" s="31"/>
      <c r="H6" s="31"/>
      <c r="I6" s="31"/>
      <c r="J6" s="35"/>
      <c r="K6" s="34" t="s">
        <v>1</v>
      </c>
      <c r="L6" s="40" t="s">
        <v>2</v>
      </c>
      <c r="M6" s="36" t="s">
        <v>3</v>
      </c>
      <c r="N6" s="131">
        <v>14</v>
      </c>
    </row>
    <row r="7" spans="1:14" ht="15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42" t="s">
        <v>5</v>
      </c>
      <c r="K7" s="43">
        <v>9</v>
      </c>
      <c r="L7" s="43">
        <v>9</v>
      </c>
      <c r="M7" s="42" t="s">
        <v>5</v>
      </c>
      <c r="N7" s="41">
        <v>18.1</v>
      </c>
    </row>
    <row r="8" spans="1:14" ht="15">
      <c r="A8" s="36"/>
      <c r="B8" s="36"/>
      <c r="C8" s="36"/>
      <c r="D8" s="36"/>
      <c r="E8" s="36"/>
      <c r="F8" s="36"/>
      <c r="G8" s="36"/>
      <c r="H8" s="36"/>
      <c r="I8" s="36"/>
      <c r="J8" s="42" t="s">
        <v>6</v>
      </c>
      <c r="K8" s="43">
        <f>12-K7</f>
        <v>3</v>
      </c>
      <c r="L8" s="43">
        <f>13-L7</f>
        <v>4</v>
      </c>
      <c r="M8" s="42" t="s">
        <v>6</v>
      </c>
      <c r="N8" s="41">
        <f>26.1-N7</f>
        <v>8</v>
      </c>
    </row>
    <row r="9" spans="1:14" ht="16.5" thickBot="1">
      <c r="A9" s="36"/>
      <c r="B9" s="36"/>
      <c r="C9" s="45"/>
      <c r="D9" s="46" t="s">
        <v>7</v>
      </c>
      <c r="E9" s="47"/>
      <c r="F9" s="48" t="s">
        <v>8</v>
      </c>
      <c r="G9" s="49"/>
      <c r="H9" s="50"/>
      <c r="I9" s="49"/>
      <c r="J9" s="33" t="s">
        <v>9</v>
      </c>
      <c r="K9" s="48"/>
      <c r="L9" s="48"/>
      <c r="M9" s="49"/>
      <c r="N9" s="51"/>
    </row>
    <row r="10" spans="1:14" ht="16.5" thickBot="1" thickTop="1">
      <c r="A10" s="52"/>
      <c r="B10" s="53"/>
      <c r="C10" s="52"/>
      <c r="D10" s="52"/>
      <c r="E10" s="54" t="s">
        <v>10</v>
      </c>
      <c r="F10" s="54" t="s">
        <v>11</v>
      </c>
      <c r="G10" s="55" t="s">
        <v>275</v>
      </c>
      <c r="H10" s="56"/>
      <c r="I10" s="57"/>
      <c r="J10" s="54" t="s">
        <v>12</v>
      </c>
      <c r="K10" s="54" t="s">
        <v>13</v>
      </c>
      <c r="L10" s="52"/>
      <c r="M10" s="58"/>
      <c r="N10" s="59"/>
    </row>
    <row r="11" spans="1:14" ht="15.75" thickTop="1">
      <c r="A11" s="60"/>
      <c r="B11" s="61" t="s">
        <v>115</v>
      </c>
      <c r="C11" s="61" t="s">
        <v>14</v>
      </c>
      <c r="D11" s="60"/>
      <c r="E11" s="61" t="s">
        <v>14</v>
      </c>
      <c r="F11" s="61" t="s">
        <v>15</v>
      </c>
      <c r="G11" s="52" t="s">
        <v>4</v>
      </c>
      <c r="H11" s="52" t="s">
        <v>4</v>
      </c>
      <c r="I11" s="53"/>
      <c r="J11" s="61" t="s">
        <v>6</v>
      </c>
      <c r="K11" s="61" t="s">
        <v>16</v>
      </c>
      <c r="L11" s="61" t="s">
        <v>13</v>
      </c>
      <c r="M11" s="62" t="s">
        <v>17</v>
      </c>
      <c r="N11" s="63" t="s">
        <v>17</v>
      </c>
    </row>
    <row r="12" spans="1:14" ht="15.75" thickBot="1">
      <c r="A12" s="64" t="s">
        <v>18</v>
      </c>
      <c r="B12" s="64" t="s">
        <v>19</v>
      </c>
      <c r="C12" s="64" t="s">
        <v>20</v>
      </c>
      <c r="D12" s="64" t="s">
        <v>21</v>
      </c>
      <c r="E12" s="64" t="s">
        <v>20</v>
      </c>
      <c r="F12" s="64" t="s">
        <v>22</v>
      </c>
      <c r="G12" s="64" t="s">
        <v>23</v>
      </c>
      <c r="H12" s="64" t="s">
        <v>24</v>
      </c>
      <c r="I12" s="65" t="s">
        <v>25</v>
      </c>
      <c r="J12" s="64" t="s">
        <v>26</v>
      </c>
      <c r="K12" s="64" t="s">
        <v>26</v>
      </c>
      <c r="L12" s="64" t="s">
        <v>27</v>
      </c>
      <c r="M12" s="66" t="s">
        <v>28</v>
      </c>
      <c r="N12" s="67" t="s">
        <v>29</v>
      </c>
    </row>
    <row r="13" spans="1:14" ht="16.5" thickTop="1">
      <c r="A13" s="68" t="s">
        <v>30</v>
      </c>
      <c r="B13" s="69">
        <v>25287000</v>
      </c>
      <c r="C13" s="81">
        <v>26819700</v>
      </c>
      <c r="D13" s="70"/>
      <c r="E13" s="71">
        <f>+C13+D13</f>
        <v>26819700</v>
      </c>
      <c r="F13" s="36"/>
      <c r="G13" s="36"/>
      <c r="H13" s="36"/>
      <c r="I13" s="44"/>
      <c r="J13" s="36"/>
      <c r="K13" s="36"/>
      <c r="L13" s="36"/>
      <c r="M13" s="36"/>
      <c r="N13" s="72"/>
    </row>
    <row r="14" spans="1:14" ht="15">
      <c r="A14" s="73" t="s">
        <v>97</v>
      </c>
      <c r="B14" s="69">
        <v>-860288</v>
      </c>
      <c r="C14" s="70"/>
      <c r="D14" s="70">
        <f>+D70</f>
        <v>-3347480.21</v>
      </c>
      <c r="E14" s="71">
        <f>C14+D14</f>
        <v>-3347480.21</v>
      </c>
      <c r="F14" s="36"/>
      <c r="G14" s="36"/>
      <c r="H14" s="36"/>
      <c r="I14" s="44"/>
      <c r="J14" s="36"/>
      <c r="K14" s="36"/>
      <c r="L14" s="36"/>
      <c r="M14" s="36"/>
      <c r="N14" s="72"/>
    </row>
    <row r="15" spans="1:14" ht="16.5" thickBot="1">
      <c r="A15" s="74" t="s">
        <v>31</v>
      </c>
      <c r="B15" s="75">
        <f>SUM(B13:B14)</f>
        <v>24426712</v>
      </c>
      <c r="C15" s="76">
        <f>SUM(C13:C14)</f>
        <v>26819700</v>
      </c>
      <c r="D15" s="76">
        <f>SUM(D13:D14)</f>
        <v>-3347480.21</v>
      </c>
      <c r="E15" s="77">
        <f>SUM(E13:E14)</f>
        <v>23472219.79</v>
      </c>
      <c r="F15" s="78" t="s">
        <v>4</v>
      </c>
      <c r="G15" s="78"/>
      <c r="H15" s="78"/>
      <c r="I15" s="79"/>
      <c r="J15" s="78"/>
      <c r="K15" s="78"/>
      <c r="L15" s="78"/>
      <c r="M15" s="78"/>
      <c r="N15" s="80"/>
    </row>
    <row r="16" spans="1:14" ht="16.5" thickTop="1">
      <c r="A16" s="68" t="s">
        <v>32</v>
      </c>
      <c r="B16" s="69"/>
      <c r="C16" s="70"/>
      <c r="D16" s="92"/>
      <c r="E16" s="126"/>
      <c r="F16" s="144"/>
      <c r="G16" s="36"/>
      <c r="H16" s="36"/>
      <c r="I16" s="44"/>
      <c r="J16" s="36"/>
      <c r="K16" s="36"/>
      <c r="L16" s="36"/>
      <c r="M16" s="36"/>
      <c r="N16" s="72"/>
    </row>
    <row r="17" spans="1:14" ht="15">
      <c r="A17" s="97" t="s">
        <v>33</v>
      </c>
      <c r="B17" s="69">
        <v>6096785.66</v>
      </c>
      <c r="C17" s="81">
        <v>6740000</v>
      </c>
      <c r="D17" s="126">
        <v>0</v>
      </c>
      <c r="E17" s="126">
        <f>C17+D17</f>
        <v>6740000</v>
      </c>
      <c r="F17" s="81">
        <f>+G17-3690661</f>
        <v>439443.58999999985</v>
      </c>
      <c r="G17" s="70">
        <v>4130104.59</v>
      </c>
      <c r="H17" s="70">
        <v>0</v>
      </c>
      <c r="I17" s="71">
        <f>G17+H17</f>
        <v>4130104.59</v>
      </c>
      <c r="J17" s="70">
        <f>'PR Adjustments'!G61</f>
        <v>1737579</v>
      </c>
      <c r="K17" s="70">
        <f>G17+H17+J17</f>
        <v>5867683.59</v>
      </c>
      <c r="L17" s="70">
        <f>E17-K17</f>
        <v>872316.4100000001</v>
      </c>
      <c r="M17" s="82">
        <f>IF(+G17=0,0,+G17/+E17)</f>
        <v>0.6127751617210683</v>
      </c>
      <c r="N17" s="83">
        <f>$N$7/26</f>
        <v>0.6961538461538462</v>
      </c>
    </row>
    <row r="18" spans="1:14" ht="15">
      <c r="A18" s="97"/>
      <c r="B18" s="69"/>
      <c r="C18" s="70"/>
      <c r="D18" s="126"/>
      <c r="E18" s="126"/>
      <c r="F18" s="81"/>
      <c r="G18" s="70"/>
      <c r="H18" s="70"/>
      <c r="I18" s="71"/>
      <c r="J18" s="70"/>
      <c r="K18" s="70"/>
      <c r="L18" s="70"/>
      <c r="M18" s="70"/>
      <c r="N18" s="72"/>
    </row>
    <row r="19" spans="1:14" ht="15">
      <c r="A19" s="97" t="s">
        <v>34</v>
      </c>
      <c r="B19" s="69">
        <v>1226246.53</v>
      </c>
      <c r="C19" s="81">
        <v>1430000</v>
      </c>
      <c r="D19" s="126">
        <v>0</v>
      </c>
      <c r="E19" s="126">
        <f>C19+D19</f>
        <v>1430000</v>
      </c>
      <c r="F19" s="81">
        <f>+G19-839864</f>
        <v>90788.41000000003</v>
      </c>
      <c r="G19" s="70">
        <v>930652.41</v>
      </c>
      <c r="H19" s="70">
        <v>0</v>
      </c>
      <c r="I19" s="71">
        <f>G19+H19</f>
        <v>930652.41</v>
      </c>
      <c r="J19" s="70">
        <f>'PR Adjustments'!H61</f>
        <v>362231</v>
      </c>
      <c r="K19" s="70">
        <f>G19+H19+J19</f>
        <v>1292883.4100000001</v>
      </c>
      <c r="L19" s="70">
        <f>E19-K19</f>
        <v>137116.58999999985</v>
      </c>
      <c r="M19" s="82">
        <f>IF(+G19=0,0,+G19/+E19)</f>
        <v>0.6508058811188812</v>
      </c>
      <c r="N19" s="83">
        <f>$N$7/26</f>
        <v>0.6961538461538462</v>
      </c>
    </row>
    <row r="20" spans="1:14" ht="15">
      <c r="A20" s="97"/>
      <c r="B20" s="69"/>
      <c r="C20" s="70"/>
      <c r="D20" s="126"/>
      <c r="E20" s="126"/>
      <c r="F20" s="81"/>
      <c r="G20" s="70"/>
      <c r="H20" s="70"/>
      <c r="I20" s="71"/>
      <c r="J20" s="70"/>
      <c r="K20" s="70"/>
      <c r="L20" s="70"/>
      <c r="M20" s="70"/>
      <c r="N20" s="72"/>
    </row>
    <row r="21" spans="1:14" ht="15">
      <c r="A21" s="125" t="s">
        <v>35</v>
      </c>
      <c r="B21" s="69">
        <v>2971041.66</v>
      </c>
      <c r="C21" s="81">
        <v>3120000</v>
      </c>
      <c r="D21" s="126">
        <v>0</v>
      </c>
      <c r="E21" s="126">
        <f>C21+D21</f>
        <v>3120000</v>
      </c>
      <c r="F21" s="81">
        <f>+G21-1707473</f>
        <v>208588.82000000007</v>
      </c>
      <c r="G21" s="70">
        <v>1916061.82</v>
      </c>
      <c r="H21" s="70">
        <v>0</v>
      </c>
      <c r="I21" s="71">
        <f>G21+H21</f>
        <v>1916061.82</v>
      </c>
      <c r="J21" s="70">
        <f>297662.36+'PR Adjustments'!I61</f>
        <v>1077733.95</v>
      </c>
      <c r="K21" s="70">
        <f>G21+H21+J21</f>
        <v>2993795.77</v>
      </c>
      <c r="L21" s="70">
        <f>E21-K21</f>
        <v>126204.22999999998</v>
      </c>
      <c r="M21" s="82">
        <f>IF(+G21=0,0,+G21/+E21)</f>
        <v>0.6141223782051283</v>
      </c>
      <c r="N21" s="83">
        <f>$N$7/26</f>
        <v>0.6961538461538462</v>
      </c>
    </row>
    <row r="22" spans="1:14" ht="15">
      <c r="A22" s="97"/>
      <c r="B22" s="69"/>
      <c r="C22" s="70"/>
      <c r="D22" s="126"/>
      <c r="E22" s="126"/>
      <c r="F22" s="81"/>
      <c r="G22" s="70"/>
      <c r="H22" s="70"/>
      <c r="I22" s="71"/>
      <c r="J22" s="70"/>
      <c r="K22" s="70"/>
      <c r="L22" s="70"/>
      <c r="M22" s="70"/>
      <c r="N22" s="72"/>
    </row>
    <row r="23" spans="1:14" ht="15">
      <c r="A23" s="125" t="s">
        <v>88</v>
      </c>
      <c r="B23" s="69">
        <v>71425.29</v>
      </c>
      <c r="C23" s="81">
        <v>125000</v>
      </c>
      <c r="D23" s="126">
        <v>0</v>
      </c>
      <c r="E23" s="126">
        <f>C23+D23</f>
        <v>125000</v>
      </c>
      <c r="F23" s="81">
        <f>+G23-27713</f>
        <v>-0.2599999999983993</v>
      </c>
      <c r="G23" s="70">
        <v>27712.74</v>
      </c>
      <c r="H23" s="70">
        <v>0</v>
      </c>
      <c r="I23" s="71">
        <f>G23+H23</f>
        <v>27712.74</v>
      </c>
      <c r="J23" s="70">
        <f>+Project_CSSM!F20+Project_CSSM!G20</f>
        <v>19718.773333333316</v>
      </c>
      <c r="K23" s="70">
        <f>G23+H23+J23</f>
        <v>47431.51333333332</v>
      </c>
      <c r="L23" s="70">
        <f>E23-K23</f>
        <v>77568.48666666668</v>
      </c>
      <c r="M23" s="82">
        <f>IF(+G23=0,0,+G23/+E23)</f>
        <v>0.22170192000000002</v>
      </c>
      <c r="N23" s="83">
        <f>$L$7/13</f>
        <v>0.6923076923076923</v>
      </c>
    </row>
    <row r="24" spans="1:14" ht="15">
      <c r="A24" s="97"/>
      <c r="B24" s="69"/>
      <c r="C24" s="70"/>
      <c r="D24" s="126"/>
      <c r="E24" s="126"/>
      <c r="F24" s="81"/>
      <c r="G24" s="70"/>
      <c r="H24" s="70"/>
      <c r="I24" s="71"/>
      <c r="J24" s="70"/>
      <c r="K24" s="70"/>
      <c r="L24" s="70"/>
      <c r="M24" s="70"/>
      <c r="N24" s="72"/>
    </row>
    <row r="25" spans="1:14" ht="15">
      <c r="A25" s="97" t="s">
        <v>261</v>
      </c>
      <c r="B25" s="69">
        <f>10517.42+359578</f>
        <v>370095.42</v>
      </c>
      <c r="C25" s="81">
        <f>17000+365000</f>
        <v>382000</v>
      </c>
      <c r="D25" s="126">
        <v>0</v>
      </c>
      <c r="E25" s="126">
        <f>C25+D25</f>
        <v>382000</v>
      </c>
      <c r="F25" s="81">
        <f>+G25-204302</f>
        <v>24979.169999999984</v>
      </c>
      <c r="G25" s="70">
        <f>7042.99+222238.18</f>
        <v>229281.16999999998</v>
      </c>
      <c r="H25" s="70">
        <v>2769.22</v>
      </c>
      <c r="I25" s="71">
        <f>G25+H25</f>
        <v>232050.38999999998</v>
      </c>
      <c r="J25" s="70">
        <f>+Project_CSSM!F45+Project_CSSM!G45</f>
        <v>120234.74222222222</v>
      </c>
      <c r="K25" s="70">
        <f>G25+H25+J25</f>
        <v>352285.1322222222</v>
      </c>
      <c r="L25" s="70">
        <f>E25-K25</f>
        <v>29714.867777777778</v>
      </c>
      <c r="M25" s="82">
        <f>IF(+G25=0,0,+G25/+E25)</f>
        <v>0.6002124869109947</v>
      </c>
      <c r="N25" s="83">
        <f>$L$7/13</f>
        <v>0.6923076923076923</v>
      </c>
    </row>
    <row r="26" spans="1:14" ht="15">
      <c r="A26" s="97"/>
      <c r="B26" s="69"/>
      <c r="C26" s="70"/>
      <c r="D26" s="126"/>
      <c r="E26" s="126"/>
      <c r="F26" s="81"/>
      <c r="G26" s="70"/>
      <c r="H26" s="70"/>
      <c r="I26" s="71"/>
      <c r="J26" s="70"/>
      <c r="K26" s="70"/>
      <c r="L26" s="70"/>
      <c r="M26" s="70"/>
      <c r="N26" s="72"/>
    </row>
    <row r="27" spans="1:14" ht="15">
      <c r="A27" s="97" t="s">
        <v>36</v>
      </c>
      <c r="B27" s="69">
        <v>130929.34</v>
      </c>
      <c r="C27" s="81">
        <v>132000</v>
      </c>
      <c r="D27" s="126">
        <v>0</v>
      </c>
      <c r="E27" s="126">
        <f>C27+D27</f>
        <v>132000</v>
      </c>
      <c r="F27" s="81">
        <f>+G27-82360</f>
        <v>9816.679999999993</v>
      </c>
      <c r="G27" s="70">
        <v>92176.68</v>
      </c>
      <c r="H27" s="70">
        <v>0</v>
      </c>
      <c r="I27" s="71">
        <f>G27+H27</f>
        <v>92176.68</v>
      </c>
      <c r="J27" s="70">
        <f>+Project_CSSM!F55+Project_CSSM!G55</f>
        <v>39614.41333333334</v>
      </c>
      <c r="K27" s="70">
        <f>G27+H27+J27</f>
        <v>131791.09333333332</v>
      </c>
      <c r="L27" s="70">
        <f>E27-K27</f>
        <v>208.90666666667676</v>
      </c>
      <c r="M27" s="82">
        <f>IF(+G27=0,0,+G27/+E27)</f>
        <v>0.6983081818181818</v>
      </c>
      <c r="N27" s="83">
        <f>$K$7/12</f>
        <v>0.75</v>
      </c>
    </row>
    <row r="28" spans="1:14" ht="15">
      <c r="A28" s="97"/>
      <c r="B28" s="69"/>
      <c r="C28" s="70"/>
      <c r="D28" s="126"/>
      <c r="E28" s="126"/>
      <c r="F28" s="81"/>
      <c r="G28" s="70"/>
      <c r="H28" s="70"/>
      <c r="I28" s="71"/>
      <c r="J28" s="70"/>
      <c r="K28" s="70"/>
      <c r="L28" s="70"/>
      <c r="M28" s="70"/>
      <c r="N28" s="72"/>
    </row>
    <row r="29" spans="1:14" ht="15">
      <c r="A29" s="97" t="s">
        <v>95</v>
      </c>
      <c r="B29" s="69">
        <v>108446.72</v>
      </c>
      <c r="C29" s="81">
        <v>112000</v>
      </c>
      <c r="D29" s="126">
        <v>0</v>
      </c>
      <c r="E29" s="126">
        <f>C29+D29</f>
        <v>112000</v>
      </c>
      <c r="F29" s="81">
        <f>+G29-58546</f>
        <v>4538.07</v>
      </c>
      <c r="G29" s="70">
        <v>63084.07</v>
      </c>
      <c r="H29" s="70">
        <v>0</v>
      </c>
      <c r="I29" s="71">
        <f>G29+H29</f>
        <v>63084.07</v>
      </c>
      <c r="J29" s="70">
        <f>+Project_CSSM!F63+Project_CSSM!G63</f>
        <v>26226.364444444444</v>
      </c>
      <c r="K29" s="70">
        <f>G29+H29+J29</f>
        <v>89310.43444444444</v>
      </c>
      <c r="L29" s="70">
        <f>E29-K29</f>
        <v>22689.565555555557</v>
      </c>
      <c r="M29" s="82">
        <f>IF(+G29=0,0,+G29/+E29)</f>
        <v>0.563250625</v>
      </c>
      <c r="N29" s="83">
        <f>$K$7/12</f>
        <v>0.75</v>
      </c>
    </row>
    <row r="30" spans="1:14" ht="15">
      <c r="A30" s="97"/>
      <c r="B30" s="69"/>
      <c r="C30" s="70"/>
      <c r="D30" s="126"/>
      <c r="E30" s="126"/>
      <c r="F30" s="81"/>
      <c r="G30" s="70"/>
      <c r="H30" s="70"/>
      <c r="I30" s="71"/>
      <c r="J30" s="70"/>
      <c r="K30" s="70"/>
      <c r="L30" s="70"/>
      <c r="M30" s="70"/>
      <c r="N30" s="72"/>
    </row>
    <row r="31" spans="1:14" ht="15">
      <c r="A31" s="97" t="s">
        <v>37</v>
      </c>
      <c r="B31" s="69">
        <v>2428144.14</v>
      </c>
      <c r="C31" s="81">
        <v>5320000</v>
      </c>
      <c r="D31" s="126">
        <v>0</v>
      </c>
      <c r="E31" s="126">
        <f>C31+D31</f>
        <v>5320000</v>
      </c>
      <c r="F31" s="81">
        <f>+G31-1650438</f>
        <v>456017.8500000001</v>
      </c>
      <c r="G31" s="70">
        <f>2560541.42-454085.57</f>
        <v>2106455.85</v>
      </c>
      <c r="H31" s="70">
        <f>2943354.76-41918.19</f>
        <v>2901436.57</v>
      </c>
      <c r="I31" s="71">
        <f>G31+H31</f>
        <v>5007892.42</v>
      </c>
      <c r="J31" s="70">
        <f>+Project_CSSM!F92+Project_CSSM!G92</f>
        <v>302921.53666666674</v>
      </c>
      <c r="K31" s="70">
        <f>G31+H31+J31</f>
        <v>5310813.956666667</v>
      </c>
      <c r="L31" s="70">
        <f>E31-K31</f>
        <v>9186.043333332986</v>
      </c>
      <c r="M31" s="82">
        <f>IF(+G31=0,0,+G31/+E31)</f>
        <v>0.39595034774436094</v>
      </c>
      <c r="N31" s="83">
        <f>$L$7/13</f>
        <v>0.6923076923076923</v>
      </c>
    </row>
    <row r="32" spans="1:14" ht="15">
      <c r="A32" s="97"/>
      <c r="B32" s="69"/>
      <c r="C32" s="70"/>
      <c r="D32" s="126"/>
      <c r="E32" s="126"/>
      <c r="F32" s="81"/>
      <c r="G32" s="70"/>
      <c r="H32" s="70"/>
      <c r="I32" s="71"/>
      <c r="J32" s="70"/>
      <c r="K32" s="70"/>
      <c r="L32" s="70"/>
      <c r="M32" s="70"/>
      <c r="N32" s="84"/>
    </row>
    <row r="33" spans="1:14" ht="15">
      <c r="A33" s="97" t="s">
        <v>100</v>
      </c>
      <c r="B33" s="69">
        <v>2400</v>
      </c>
      <c r="C33" s="81">
        <v>2000</v>
      </c>
      <c r="D33" s="126">
        <v>0</v>
      </c>
      <c r="E33" s="126">
        <f>C33+D33</f>
        <v>2000</v>
      </c>
      <c r="F33" s="81">
        <v>0</v>
      </c>
      <c r="G33" s="70">
        <v>0</v>
      </c>
      <c r="H33" s="70">
        <v>0</v>
      </c>
      <c r="I33" s="71">
        <f>G33+H33</f>
        <v>0</v>
      </c>
      <c r="J33" s="70">
        <f>+Project_CSSM!F96+Project_CSSM!G96</f>
        <v>0</v>
      </c>
      <c r="K33" s="70">
        <f>G33+H33+J33</f>
        <v>0</v>
      </c>
      <c r="L33" s="70">
        <f>E33-K33</f>
        <v>2000</v>
      </c>
      <c r="M33" s="82">
        <f>IF(+G33=0,0,+G33/+E33)</f>
        <v>0</v>
      </c>
      <c r="N33" s="83">
        <f>$L$7/13</f>
        <v>0.6923076923076923</v>
      </c>
    </row>
    <row r="34" spans="1:14" ht="15">
      <c r="A34" s="97"/>
      <c r="B34" s="69"/>
      <c r="C34" s="70"/>
      <c r="D34" s="126"/>
      <c r="E34" s="126"/>
      <c r="F34" s="81"/>
      <c r="G34" s="70"/>
      <c r="H34" s="70"/>
      <c r="I34" s="71"/>
      <c r="J34" s="70"/>
      <c r="K34" s="70"/>
      <c r="L34" s="70"/>
      <c r="M34" s="70"/>
      <c r="N34" s="84"/>
    </row>
    <row r="35" spans="1:14" ht="15">
      <c r="A35" s="97" t="s">
        <v>38</v>
      </c>
      <c r="B35" s="69">
        <v>511800.29</v>
      </c>
      <c r="C35" s="81">
        <v>620000</v>
      </c>
      <c r="D35" s="126">
        <v>0</v>
      </c>
      <c r="E35" s="126">
        <f>C35+D35</f>
        <v>620000</v>
      </c>
      <c r="F35" s="81">
        <f>+G35-331805</f>
        <v>37530.590000000026</v>
      </c>
      <c r="G35" s="70">
        <v>369335.59</v>
      </c>
      <c r="H35" s="70">
        <v>0</v>
      </c>
      <c r="I35" s="71">
        <f>G35+H35</f>
        <v>369335.59</v>
      </c>
      <c r="J35" s="70">
        <f>+Project_CSSM!F118+Project_CSSM!G118</f>
        <v>167056.1511111111</v>
      </c>
      <c r="K35" s="70">
        <f>G35+H35+J35</f>
        <v>536391.7411111111</v>
      </c>
      <c r="L35" s="70">
        <f>E35-K35</f>
        <v>83608.25888888887</v>
      </c>
      <c r="M35" s="82">
        <f>IF(+G35=0,0,+G35/+E35)</f>
        <v>0.595702564516129</v>
      </c>
      <c r="N35" s="83">
        <f>$K$7/12</f>
        <v>0.75</v>
      </c>
    </row>
    <row r="36" spans="1:14" ht="15">
      <c r="A36" s="97"/>
      <c r="B36" s="69"/>
      <c r="C36" s="70"/>
      <c r="D36" s="126"/>
      <c r="E36" s="126"/>
      <c r="F36" s="81"/>
      <c r="G36" s="70"/>
      <c r="H36" s="70"/>
      <c r="I36" s="71"/>
      <c r="J36" s="70"/>
      <c r="K36" s="70"/>
      <c r="L36" s="70"/>
      <c r="M36" s="70"/>
      <c r="N36" s="84"/>
    </row>
    <row r="37" spans="1:14" ht="15">
      <c r="A37" s="97" t="s">
        <v>39</v>
      </c>
      <c r="B37" s="69">
        <v>442475.52</v>
      </c>
      <c r="C37" s="81">
        <v>820000</v>
      </c>
      <c r="D37" s="126">
        <v>0</v>
      </c>
      <c r="E37" s="126">
        <f>C37+D37</f>
        <v>820000</v>
      </c>
      <c r="F37" s="81">
        <f>+G37-297282</f>
        <v>129202.70000000001</v>
      </c>
      <c r="G37" s="70">
        <v>426484.7</v>
      </c>
      <c r="H37" s="70">
        <v>270450.81</v>
      </c>
      <c r="I37" s="71">
        <f>G37+H37</f>
        <v>696935.51</v>
      </c>
      <c r="J37" s="70">
        <f>+Project_CSSM!F127+Project_CSSM!G127</f>
        <v>113328.56666666668</v>
      </c>
      <c r="K37" s="70">
        <f>G37+H37+J37</f>
        <v>810264.0766666667</v>
      </c>
      <c r="L37" s="70">
        <f>E37-K37</f>
        <v>9735.92333333334</v>
      </c>
      <c r="M37" s="82">
        <f>IF(+G37=0,0,+G37/+E37)</f>
        <v>0.5201032926829269</v>
      </c>
      <c r="N37" s="83">
        <f>$K$7/12</f>
        <v>0.75</v>
      </c>
    </row>
    <row r="38" spans="1:14" ht="15">
      <c r="A38" s="97"/>
      <c r="B38" s="69"/>
      <c r="C38" s="70"/>
      <c r="D38" s="126"/>
      <c r="E38" s="126"/>
      <c r="F38" s="81"/>
      <c r="G38" s="70"/>
      <c r="H38" s="70"/>
      <c r="I38" s="71"/>
      <c r="J38" s="70"/>
      <c r="K38" s="70"/>
      <c r="L38" s="70"/>
      <c r="M38" s="70"/>
      <c r="N38" s="84"/>
    </row>
    <row r="39" spans="1:14" ht="15">
      <c r="A39" s="97" t="s">
        <v>96</v>
      </c>
      <c r="B39" s="69">
        <v>166539.61</v>
      </c>
      <c r="C39" s="81">
        <v>150000</v>
      </c>
      <c r="D39" s="126">
        <v>0</v>
      </c>
      <c r="E39" s="126">
        <f>C39+D39</f>
        <v>150000</v>
      </c>
      <c r="F39" s="81">
        <f>+G39-77287</f>
        <v>439.50999999999476</v>
      </c>
      <c r="G39" s="126">
        <v>77726.51</v>
      </c>
      <c r="H39" s="126">
        <v>45249</v>
      </c>
      <c r="I39" s="71">
        <f>G39+H39</f>
        <v>122975.51</v>
      </c>
      <c r="J39" s="70">
        <f>+Project_CSSM!F135+Project_CSSM!G135</f>
        <v>-0.07666666666773381</v>
      </c>
      <c r="K39" s="70">
        <f>G39+H39+J39</f>
        <v>122975.43333333332</v>
      </c>
      <c r="L39" s="126">
        <f>E39-K39</f>
        <v>27024.56666666668</v>
      </c>
      <c r="M39" s="82">
        <f>IF(+G39=0,0,+G39/+E39)</f>
        <v>0.5181767333333333</v>
      </c>
      <c r="N39" s="83">
        <f>$K$7/12</f>
        <v>0.75</v>
      </c>
    </row>
    <row r="40" spans="1:14" ht="15">
      <c r="A40" s="97"/>
      <c r="B40" s="69"/>
      <c r="C40" s="70"/>
      <c r="D40" s="126"/>
      <c r="E40" s="126"/>
      <c r="F40" s="81"/>
      <c r="G40" s="70"/>
      <c r="H40" s="70"/>
      <c r="I40" s="44"/>
      <c r="J40" s="70"/>
      <c r="K40" s="70"/>
      <c r="L40" s="70"/>
      <c r="M40" s="70"/>
      <c r="N40" s="84"/>
    </row>
    <row r="41" spans="1:14" ht="15">
      <c r="A41" s="97" t="s">
        <v>104</v>
      </c>
      <c r="B41" s="69">
        <v>16.12</v>
      </c>
      <c r="C41" s="81">
        <v>0</v>
      </c>
      <c r="D41" s="126">
        <v>0</v>
      </c>
      <c r="E41" s="126">
        <f>C41+D41</f>
        <v>0</v>
      </c>
      <c r="F41" s="81">
        <f>+G41-0</f>
        <v>0</v>
      </c>
      <c r="G41" s="126">
        <v>0</v>
      </c>
      <c r="H41" s="126">
        <v>0</v>
      </c>
      <c r="I41" s="71">
        <f>G41+H41</f>
        <v>0</v>
      </c>
      <c r="J41" s="70">
        <f>+Project_CSSM!F141+Project_CSSM!G141</f>
        <v>0</v>
      </c>
      <c r="K41" s="70">
        <v>0</v>
      </c>
      <c r="L41" s="126">
        <f>E41-K41</f>
        <v>0</v>
      </c>
      <c r="M41" s="82">
        <f>IF(+G41=0,0,+G41/+E41)</f>
        <v>0</v>
      </c>
      <c r="N41" s="83">
        <f>$K$7/12</f>
        <v>0.75</v>
      </c>
    </row>
    <row r="42" spans="1:14" ht="15">
      <c r="A42" s="97"/>
      <c r="B42" s="69"/>
      <c r="C42" s="70"/>
      <c r="D42" s="126"/>
      <c r="E42" s="126"/>
      <c r="F42" s="81"/>
      <c r="G42" s="70"/>
      <c r="H42" s="70"/>
      <c r="I42" s="44"/>
      <c r="J42" s="70"/>
      <c r="K42" s="70"/>
      <c r="L42" s="70"/>
      <c r="M42" s="70"/>
      <c r="N42" s="84"/>
    </row>
    <row r="43" spans="1:14" ht="15">
      <c r="A43" s="97" t="s">
        <v>94</v>
      </c>
      <c r="B43" s="69">
        <v>18562.37</v>
      </c>
      <c r="C43" s="81">
        <v>17000</v>
      </c>
      <c r="D43" s="126">
        <v>0</v>
      </c>
      <c r="E43" s="126">
        <f>C43+D43</f>
        <v>17000</v>
      </c>
      <c r="F43" s="81">
        <f>+G43-0</f>
        <v>0</v>
      </c>
      <c r="G43" s="70">
        <v>0</v>
      </c>
      <c r="H43" s="70">
        <v>0</v>
      </c>
      <c r="I43" s="71">
        <f>G43+H43</f>
        <v>0</v>
      </c>
      <c r="J43" s="70">
        <f>+Project_CSSM!F149+Project_CSSM!G149</f>
        <v>7578.32</v>
      </c>
      <c r="K43" s="126">
        <f>G43+H43+J43</f>
        <v>7578.32</v>
      </c>
      <c r="L43" s="126">
        <f>E43-K43</f>
        <v>9421.68</v>
      </c>
      <c r="M43" s="82">
        <f>IF(+G43=0,0,+G43/+E43)</f>
        <v>0</v>
      </c>
      <c r="N43" s="83">
        <f>$K$7/12</f>
        <v>0.75</v>
      </c>
    </row>
    <row r="44" spans="1:14" ht="15">
      <c r="A44" s="73"/>
      <c r="B44" s="69"/>
      <c r="C44" s="70"/>
      <c r="D44" s="126"/>
      <c r="E44" s="126"/>
      <c r="F44" s="81"/>
      <c r="G44" s="70"/>
      <c r="H44" s="70"/>
      <c r="I44" s="44"/>
      <c r="J44" s="70"/>
      <c r="K44" s="70"/>
      <c r="L44" s="70"/>
      <c r="M44" s="70"/>
      <c r="N44" s="84"/>
    </row>
    <row r="45" spans="1:14" ht="15">
      <c r="A45" s="73" t="s">
        <v>262</v>
      </c>
      <c r="B45" s="69">
        <v>15000</v>
      </c>
      <c r="C45" s="81">
        <v>515000</v>
      </c>
      <c r="D45" s="126">
        <v>0</v>
      </c>
      <c r="E45" s="126">
        <f>C45+D45</f>
        <v>515000</v>
      </c>
      <c r="F45" s="81">
        <f>+G45-203470</f>
        <v>-0.07999999998719431</v>
      </c>
      <c r="G45" s="70">
        <v>203469.92</v>
      </c>
      <c r="H45" s="70">
        <v>0</v>
      </c>
      <c r="I45" s="71">
        <f>G45+H45</f>
        <v>203469.92</v>
      </c>
      <c r="J45" s="70">
        <f>+Project_CSSM!F155+Project_CSSM!G155</f>
        <v>305000.30666666664</v>
      </c>
      <c r="K45" s="126">
        <f>G45+H45+J45</f>
        <v>508470.2266666667</v>
      </c>
      <c r="L45" s="126">
        <f>E45-K45</f>
        <v>6529.773333333316</v>
      </c>
      <c r="M45" s="82">
        <f>IF(+G45=0,0,+G45/+E45)</f>
        <v>0.3950872233009709</v>
      </c>
      <c r="N45" s="83">
        <f>$K$7/12</f>
        <v>0.75</v>
      </c>
    </row>
    <row r="46" spans="1:14" ht="15">
      <c r="A46" s="73"/>
      <c r="B46" s="69"/>
      <c r="C46" s="70"/>
      <c r="D46" s="126"/>
      <c r="E46" s="126"/>
      <c r="F46" s="81"/>
      <c r="G46" s="70"/>
      <c r="H46" s="70"/>
      <c r="I46" s="44"/>
      <c r="J46" s="126"/>
      <c r="K46" s="126"/>
      <c r="L46" s="70"/>
      <c r="M46" s="70"/>
      <c r="N46" s="84"/>
    </row>
    <row r="47" spans="1:14" ht="15">
      <c r="A47" s="97" t="s">
        <v>99</v>
      </c>
      <c r="B47" s="69">
        <v>523762.23</v>
      </c>
      <c r="C47" s="81">
        <v>590000</v>
      </c>
      <c r="D47" s="126">
        <v>0</v>
      </c>
      <c r="E47" s="126">
        <f>C47+D47</f>
        <v>590000</v>
      </c>
      <c r="F47" s="81">
        <f>+G47-305280</f>
        <v>0.21999999997206032</v>
      </c>
      <c r="G47" s="70">
        <v>305280.22</v>
      </c>
      <c r="H47" s="70">
        <v>0</v>
      </c>
      <c r="I47" s="71">
        <f>G47+H47</f>
        <v>305280.22</v>
      </c>
      <c r="J47" s="81">
        <f>+Project_CSSM!F163+Project_CSSM!G163</f>
        <v>281092.07333333336</v>
      </c>
      <c r="K47" s="126">
        <f>G47+H47+J47</f>
        <v>586372.2933333333</v>
      </c>
      <c r="L47" s="70">
        <f>E47-K47</f>
        <v>3627.706666666665</v>
      </c>
      <c r="M47" s="82">
        <f>IF(+G47=0,0,+G47/+E47)</f>
        <v>0.5174241016949153</v>
      </c>
      <c r="N47" s="83">
        <f>$L$7/13</f>
        <v>0.6923076923076923</v>
      </c>
    </row>
    <row r="48" spans="1:14" ht="15">
      <c r="A48" s="97"/>
      <c r="B48" s="69"/>
      <c r="C48" s="70"/>
      <c r="D48" s="126"/>
      <c r="E48" s="126"/>
      <c r="F48" s="81"/>
      <c r="G48" s="70"/>
      <c r="H48" s="70"/>
      <c r="I48" s="44"/>
      <c r="J48" s="126"/>
      <c r="K48" s="126"/>
      <c r="L48" s="70"/>
      <c r="M48" s="70"/>
      <c r="N48" s="84"/>
    </row>
    <row r="49" spans="1:14" ht="15">
      <c r="A49" s="97" t="s">
        <v>101</v>
      </c>
      <c r="B49" s="69">
        <v>272654.11</v>
      </c>
      <c r="C49" s="81">
        <v>380000</v>
      </c>
      <c r="D49" s="126">
        <v>0</v>
      </c>
      <c r="E49" s="126">
        <f>C49+D49</f>
        <v>380000</v>
      </c>
      <c r="F49" s="81">
        <f>+G49-249856</f>
        <v>0.39999999999417923</v>
      </c>
      <c r="G49" s="70">
        <v>249856.4</v>
      </c>
      <c r="H49" s="70">
        <v>0</v>
      </c>
      <c r="I49" s="71">
        <f>G49+H49</f>
        <v>249856.4</v>
      </c>
      <c r="J49" s="81">
        <f>+Project_CSSM!F167+Project_CSSM!G167</f>
        <v>124449.58666666667</v>
      </c>
      <c r="K49" s="126">
        <f>G49+H49+J49</f>
        <v>374305.9866666667</v>
      </c>
      <c r="L49" s="70">
        <f>E49-K49</f>
        <v>5694.013333333307</v>
      </c>
      <c r="M49" s="82">
        <f>IF(+G49=0,0,+G49/+E49)</f>
        <v>0.6575168421052632</v>
      </c>
      <c r="N49" s="83">
        <f>$L$7/13</f>
        <v>0.6923076923076923</v>
      </c>
    </row>
    <row r="50" spans="1:14" ht="15">
      <c r="A50" s="73"/>
      <c r="B50" s="69"/>
      <c r="C50" s="70"/>
      <c r="D50" s="126"/>
      <c r="E50" s="126"/>
      <c r="F50" s="81"/>
      <c r="G50" s="70"/>
      <c r="H50" s="70"/>
      <c r="I50" s="44"/>
      <c r="J50" s="81"/>
      <c r="K50" s="126"/>
      <c r="L50" s="70"/>
      <c r="M50" s="70"/>
      <c r="N50" s="84"/>
    </row>
    <row r="51" spans="1:14" ht="15">
      <c r="A51" s="73" t="s">
        <v>112</v>
      </c>
      <c r="B51" s="69">
        <v>0</v>
      </c>
      <c r="C51" s="81">
        <v>0</v>
      </c>
      <c r="D51" s="126">
        <v>0</v>
      </c>
      <c r="E51" s="126">
        <f>C51+D51</f>
        <v>0</v>
      </c>
      <c r="F51" s="81">
        <f>+G51-0</f>
        <v>0</v>
      </c>
      <c r="G51" s="70">
        <v>0</v>
      </c>
      <c r="H51" s="70">
        <v>0</v>
      </c>
      <c r="I51" s="71">
        <f>G51+H51</f>
        <v>0</v>
      </c>
      <c r="J51" s="81">
        <v>0</v>
      </c>
      <c r="K51" s="126">
        <f>G51+H51+J51</f>
        <v>0</v>
      </c>
      <c r="L51" s="70">
        <f>E51-K51</f>
        <v>0</v>
      </c>
      <c r="M51" s="82">
        <f>IF(+G51=0,0,+G51/+E51)</f>
        <v>0</v>
      </c>
      <c r="N51" s="83">
        <f>$K$7/12</f>
        <v>0.75</v>
      </c>
    </row>
    <row r="52" spans="1:14" ht="15">
      <c r="A52" s="73"/>
      <c r="B52" s="69"/>
      <c r="C52" s="70"/>
      <c r="D52" s="126"/>
      <c r="E52" s="126"/>
      <c r="F52" s="81"/>
      <c r="G52" s="70"/>
      <c r="H52" s="70"/>
      <c r="I52" s="44"/>
      <c r="J52" s="126"/>
      <c r="K52" s="126"/>
      <c r="L52" s="70"/>
      <c r="M52" s="70"/>
      <c r="N52" s="84"/>
    </row>
    <row r="53" spans="1:14" ht="15">
      <c r="A53" s="97" t="s">
        <v>105</v>
      </c>
      <c r="B53" s="69">
        <v>4876880.01</v>
      </c>
      <c r="C53" s="81">
        <v>4200000</v>
      </c>
      <c r="D53" s="126">
        <v>0</v>
      </c>
      <c r="E53" s="126">
        <f>C53+D53</f>
        <v>4200000</v>
      </c>
      <c r="F53" s="81">
        <f>+G53-1654805</f>
        <v>177504.77000000002</v>
      </c>
      <c r="G53" s="70">
        <v>1832309.77</v>
      </c>
      <c r="H53" s="70">
        <v>505213.6</v>
      </c>
      <c r="I53" s="71">
        <f>G53+H53</f>
        <v>2337523.37</v>
      </c>
      <c r="J53" s="81">
        <f>+Project_CSSM!F196+Project_CSSM!G196</f>
        <v>1471406.8977777779</v>
      </c>
      <c r="K53" s="70">
        <f>G53+H53+J53</f>
        <v>3808930.267777778</v>
      </c>
      <c r="L53" s="70">
        <f>E53-K53</f>
        <v>391069.7322222218</v>
      </c>
      <c r="M53" s="82">
        <f>IF(+G53=0,0,+G53/+E53)</f>
        <v>0.436264230952381</v>
      </c>
      <c r="N53" s="83">
        <f>$L$7/13</f>
        <v>0.6923076923076923</v>
      </c>
    </row>
    <row r="54" spans="1:14" ht="15">
      <c r="A54" s="73"/>
      <c r="B54" s="69"/>
      <c r="C54" s="126"/>
      <c r="D54" s="126"/>
      <c r="E54" s="126"/>
      <c r="F54" s="81"/>
      <c r="G54" s="70"/>
      <c r="H54" s="70"/>
      <c r="I54" s="71"/>
      <c r="J54" s="126"/>
      <c r="K54" s="126"/>
      <c r="L54" s="70"/>
      <c r="M54" s="82"/>
      <c r="N54" s="83"/>
    </row>
    <row r="55" spans="1:14" ht="15">
      <c r="A55" s="73" t="s">
        <v>110</v>
      </c>
      <c r="B55" s="69">
        <v>34512.8</v>
      </c>
      <c r="C55" s="81">
        <v>37000</v>
      </c>
      <c r="D55" s="126">
        <v>0</v>
      </c>
      <c r="E55" s="126">
        <f>C55+D55</f>
        <v>37000</v>
      </c>
      <c r="F55" s="81">
        <f>+G55-16526</f>
        <v>-0.020000000000436557</v>
      </c>
      <c r="G55" s="70">
        <v>16525.98</v>
      </c>
      <c r="H55" s="70">
        <v>0</v>
      </c>
      <c r="I55" s="71">
        <f>G55+H55</f>
        <v>16525.98</v>
      </c>
      <c r="J55" s="81">
        <f>+Project_CSSM!F200+Project_CSSM!G200</f>
        <v>12922.66</v>
      </c>
      <c r="K55" s="126">
        <f>G55+H55+J55</f>
        <v>29448.64</v>
      </c>
      <c r="L55" s="70">
        <f>E55-K55</f>
        <v>7551.360000000001</v>
      </c>
      <c r="M55" s="82">
        <f>IF(+G55=0,0,+G55/+E55)</f>
        <v>0.4466481081081081</v>
      </c>
      <c r="N55" s="83">
        <f>$L$7/13</f>
        <v>0.6923076923076923</v>
      </c>
    </row>
    <row r="56" spans="1:14" ht="15">
      <c r="A56" s="73"/>
      <c r="B56" s="69"/>
      <c r="C56" s="70"/>
      <c r="D56" s="126"/>
      <c r="E56" s="126"/>
      <c r="F56" s="81"/>
      <c r="G56" s="70"/>
      <c r="H56" s="70"/>
      <c r="I56" s="44"/>
      <c r="J56" s="126"/>
      <c r="K56" s="126"/>
      <c r="L56" s="70"/>
      <c r="M56" s="70"/>
      <c r="N56" s="84"/>
    </row>
    <row r="57" spans="1:14" ht="15">
      <c r="A57" s="97" t="s">
        <v>111</v>
      </c>
      <c r="B57" s="69">
        <v>0</v>
      </c>
      <c r="C57" s="81">
        <v>0</v>
      </c>
      <c r="D57" s="126">
        <v>0</v>
      </c>
      <c r="E57" s="126">
        <f>C57+D57</f>
        <v>0</v>
      </c>
      <c r="F57" s="81">
        <v>0</v>
      </c>
      <c r="G57" s="70">
        <v>0</v>
      </c>
      <c r="H57" s="70">
        <v>0</v>
      </c>
      <c r="I57" s="71">
        <f>G57+H57</f>
        <v>0</v>
      </c>
      <c r="J57" s="81">
        <f>(+G57/+$L$7)*$L$8</f>
        <v>0</v>
      </c>
      <c r="K57" s="126">
        <f>G57+H57+J57</f>
        <v>0</v>
      </c>
      <c r="L57" s="70">
        <f>E57-K57</f>
        <v>0</v>
      </c>
      <c r="M57" s="82">
        <f>IF(+G57=0,0,+G57/+E57)</f>
        <v>0</v>
      </c>
      <c r="N57" s="83">
        <f>$L$7/13</f>
        <v>0.6923076923076923</v>
      </c>
    </row>
    <row r="58" spans="1:14" ht="15">
      <c r="A58" s="73"/>
      <c r="B58" s="69"/>
      <c r="C58" s="70"/>
      <c r="D58" s="126"/>
      <c r="E58" s="126"/>
      <c r="F58" s="81"/>
      <c r="G58" s="70"/>
      <c r="H58" s="70"/>
      <c r="I58" s="44"/>
      <c r="J58" s="70"/>
      <c r="K58" s="70" t="s">
        <v>106</v>
      </c>
      <c r="L58" s="70"/>
      <c r="M58" s="126"/>
      <c r="N58" s="84"/>
    </row>
    <row r="59" spans="1:14" ht="16.5" thickBot="1">
      <c r="A59" s="74" t="s">
        <v>40</v>
      </c>
      <c r="B59" s="75">
        <f>SUM(B16:B58)</f>
        <v>20267717.819999997</v>
      </c>
      <c r="C59" s="76">
        <f aca="true" t="shared" si="0" ref="C59:H59">SUM(C17:C57)</f>
        <v>24692000</v>
      </c>
      <c r="D59" s="76">
        <f t="shared" si="0"/>
        <v>0</v>
      </c>
      <c r="E59" s="76">
        <f t="shared" si="0"/>
        <v>24692000</v>
      </c>
      <c r="F59" s="142">
        <f>SUM(F17:F57)</f>
        <v>1578850.42</v>
      </c>
      <c r="G59" s="76">
        <f t="shared" si="0"/>
        <v>12976518.42</v>
      </c>
      <c r="H59" s="76">
        <f t="shared" si="0"/>
        <v>3725119.2</v>
      </c>
      <c r="I59" s="77">
        <f>SUM(I16:I58)</f>
        <v>16701637.620000001</v>
      </c>
      <c r="J59" s="76">
        <f>SUM(J17:J57)</f>
        <v>6169094.265555556</v>
      </c>
      <c r="K59" s="76">
        <f>SUM(K17:K57)</f>
        <v>22870731.885555558</v>
      </c>
      <c r="L59" s="76">
        <f>SUM(L17:L57)</f>
        <v>1821268.1144444433</v>
      </c>
      <c r="M59" s="141">
        <f>IF(+G59=0,0,+G59/+E59)</f>
        <v>0.5255353320913656</v>
      </c>
      <c r="N59" s="98"/>
    </row>
    <row r="60" spans="1:14" ht="15.75" thickTop="1">
      <c r="A60" s="73"/>
      <c r="B60" s="69"/>
      <c r="C60" s="70"/>
      <c r="D60" s="36"/>
      <c r="E60" s="71"/>
      <c r="F60" s="36"/>
      <c r="G60" s="36"/>
      <c r="H60" s="36"/>
      <c r="I60" s="44"/>
      <c r="J60" s="36"/>
      <c r="K60" s="36"/>
      <c r="L60" s="36"/>
      <c r="M60" s="36"/>
      <c r="N60" s="72"/>
    </row>
    <row r="61" spans="1:14" ht="16.5" thickBot="1">
      <c r="A61" s="74" t="s">
        <v>41</v>
      </c>
      <c r="B61" s="75"/>
      <c r="C61" s="76">
        <f>C15-C59</f>
        <v>2127700</v>
      </c>
      <c r="D61" s="76"/>
      <c r="E61" s="77">
        <f>SUM(+E15-E59)</f>
        <v>-1219780.210000001</v>
      </c>
      <c r="F61" s="78"/>
      <c r="G61" s="78"/>
      <c r="H61" s="78"/>
      <c r="I61" s="79"/>
      <c r="J61" s="78"/>
      <c r="K61" s="78"/>
      <c r="L61" s="76">
        <f>E61+L59</f>
        <v>601487.9044444424</v>
      </c>
      <c r="M61" s="78"/>
      <c r="N61" s="80"/>
    </row>
    <row r="62" spans="1:14" ht="15.75" thickTop="1">
      <c r="A62" s="36"/>
      <c r="B62" s="70"/>
      <c r="C62" s="70"/>
      <c r="D62" s="36"/>
      <c r="E62" s="70"/>
      <c r="F62" s="36"/>
      <c r="G62" s="36"/>
      <c r="H62" s="36"/>
      <c r="I62" s="36"/>
      <c r="J62" s="36"/>
      <c r="K62" s="36"/>
      <c r="L62" s="36"/>
      <c r="M62" s="36"/>
      <c r="N62" s="36"/>
    </row>
    <row r="63" spans="1:14" ht="16.5" thickBot="1">
      <c r="A63" s="36"/>
      <c r="B63" s="70"/>
      <c r="C63" s="87"/>
      <c r="D63" s="36"/>
      <c r="E63" s="70"/>
      <c r="F63" s="36"/>
      <c r="G63" s="36"/>
      <c r="H63" s="36"/>
      <c r="I63" s="36"/>
      <c r="J63" s="36"/>
      <c r="K63" s="36"/>
      <c r="L63" s="36"/>
      <c r="M63" s="36"/>
      <c r="N63" s="36"/>
    </row>
    <row r="64" spans="1:14" ht="17.25" thickBot="1" thickTop="1">
      <c r="A64" s="88" t="s">
        <v>42</v>
      </c>
      <c r="B64" s="89"/>
      <c r="C64" s="87"/>
      <c r="D64" s="36"/>
      <c r="E64" s="70"/>
      <c r="F64" s="36"/>
      <c r="G64" s="36"/>
      <c r="H64" s="36"/>
      <c r="I64" s="78"/>
      <c r="J64" s="36"/>
      <c r="K64" s="90" t="s">
        <v>27</v>
      </c>
      <c r="L64" s="90" t="s">
        <v>114</v>
      </c>
      <c r="M64" s="156"/>
      <c r="N64" s="36"/>
    </row>
    <row r="65" spans="1:14" ht="15.75" thickTop="1">
      <c r="A65" s="73" t="s">
        <v>90</v>
      </c>
      <c r="B65" s="91"/>
      <c r="C65" s="92">
        <v>20341900</v>
      </c>
      <c r="D65" s="128">
        <f>-527108+-2161909.21</f>
        <v>-2689017.21</v>
      </c>
      <c r="E65" s="92">
        <f>C65+D65</f>
        <v>17652882.79</v>
      </c>
      <c r="F65" s="92">
        <v>1055191.67</v>
      </c>
      <c r="G65" s="92">
        <v>9163909.32</v>
      </c>
      <c r="H65" s="92">
        <v>3196241.16</v>
      </c>
      <c r="I65" s="71">
        <f>SUM(G65:H65)</f>
        <v>12360150.48</v>
      </c>
      <c r="J65" s="92">
        <f>J59-J66-J67-J68-J69</f>
        <v>4691244.665555556</v>
      </c>
      <c r="K65" s="128">
        <f>G65+H65+J65</f>
        <v>17051395.145555556</v>
      </c>
      <c r="L65" s="92">
        <f>(E65-K65)</f>
        <v>601487.6444444433</v>
      </c>
      <c r="M65" s="92"/>
      <c r="N65" s="93"/>
    </row>
    <row r="66" spans="1:14" ht="15">
      <c r="A66" s="73" t="s">
        <v>91</v>
      </c>
      <c r="B66" s="126" t="s">
        <v>263</v>
      </c>
      <c r="C66" s="126">
        <v>110300</v>
      </c>
      <c r="D66" s="126">
        <v>-108975</v>
      </c>
      <c r="E66" s="126">
        <f>C66+D66</f>
        <v>1325</v>
      </c>
      <c r="F66" s="126">
        <v>0</v>
      </c>
      <c r="G66" s="126">
        <v>0</v>
      </c>
      <c r="H66" s="126">
        <v>0</v>
      </c>
      <c r="I66" s="71">
        <f>G66+H66</f>
        <v>0</v>
      </c>
      <c r="J66" s="126">
        <f>+E66</f>
        <v>1325</v>
      </c>
      <c r="K66" s="126">
        <f>G66+H66+J66</f>
        <v>1325</v>
      </c>
      <c r="L66" s="126">
        <f>E66-K66</f>
        <v>0</v>
      </c>
      <c r="M66" s="126"/>
      <c r="N66" s="84"/>
    </row>
    <row r="67" spans="1:14" ht="15">
      <c r="A67" s="73" t="s">
        <v>92</v>
      </c>
      <c r="B67" s="126"/>
      <c r="C67" s="126">
        <v>545200</v>
      </c>
      <c r="D67" s="126">
        <v>-247864</v>
      </c>
      <c r="E67" s="126">
        <f>C67+D67</f>
        <v>297336</v>
      </c>
      <c r="F67" s="126">
        <v>56389.9</v>
      </c>
      <c r="G67" s="126">
        <v>255270.72</v>
      </c>
      <c r="H67" s="126">
        <v>34737.41</v>
      </c>
      <c r="I67" s="71">
        <f>G67+H67</f>
        <v>290008.13</v>
      </c>
      <c r="J67" s="126">
        <f>+E67-I67</f>
        <v>7327.869999999995</v>
      </c>
      <c r="K67" s="126">
        <f>G67+H67+J67</f>
        <v>297336</v>
      </c>
      <c r="L67" s="126">
        <f>E67-K67</f>
        <v>0</v>
      </c>
      <c r="M67" s="126"/>
      <c r="N67" s="84"/>
    </row>
    <row r="68" spans="1:14" ht="15">
      <c r="A68" s="73" t="s">
        <v>93</v>
      </c>
      <c r="B68" s="126"/>
      <c r="C68" s="126">
        <v>521000</v>
      </c>
      <c r="D68" s="126">
        <v>-158963</v>
      </c>
      <c r="E68" s="126">
        <f>C68+D68</f>
        <v>362037</v>
      </c>
      <c r="F68" s="126">
        <v>8785.88</v>
      </c>
      <c r="G68" s="126">
        <v>8785.88</v>
      </c>
      <c r="H68" s="126">
        <v>291214.12</v>
      </c>
      <c r="I68" s="71">
        <f>G68+H68</f>
        <v>300000</v>
      </c>
      <c r="J68" s="126">
        <v>62037</v>
      </c>
      <c r="K68" s="70">
        <f>G68+H68+J68</f>
        <v>362037</v>
      </c>
      <c r="L68" s="70">
        <f>E68-K68</f>
        <v>0</v>
      </c>
      <c r="M68" s="126"/>
      <c r="N68" s="84"/>
    </row>
    <row r="69" spans="1:14" ht="15">
      <c r="A69" s="73" t="s">
        <v>43</v>
      </c>
      <c r="B69" s="70"/>
      <c r="C69" s="126">
        <v>5301300</v>
      </c>
      <c r="D69" s="126">
        <f>-142661</f>
        <v>-142661</v>
      </c>
      <c r="E69" s="126">
        <f>C69+D69</f>
        <v>5158639</v>
      </c>
      <c r="F69" s="126">
        <f>594000-135517.48</f>
        <v>458482.52</v>
      </c>
      <c r="G69" s="126">
        <f>3408638.33+594000-454085.57</f>
        <v>3548552.7600000002</v>
      </c>
      <c r="H69" s="126">
        <f>244844.7-41918.19</f>
        <v>202926.51</v>
      </c>
      <c r="I69" s="86">
        <f>G69+H69</f>
        <v>3751479.2700000005</v>
      </c>
      <c r="J69" s="126">
        <f>+E69-I69</f>
        <v>1407159.7299999995</v>
      </c>
      <c r="K69" s="127">
        <f>G69+H69+J69</f>
        <v>5158639</v>
      </c>
      <c r="L69" s="85">
        <f>E69-K69</f>
        <v>0</v>
      </c>
      <c r="M69" s="70"/>
      <c r="N69" s="84"/>
    </row>
    <row r="70" spans="1:14" ht="15.75" thickBot="1">
      <c r="A70" s="66" t="s">
        <v>44</v>
      </c>
      <c r="B70" s="151"/>
      <c r="C70" s="152">
        <f aca="true" t="shared" si="1" ref="C70:J70">SUM(C65:C69)</f>
        <v>26819700</v>
      </c>
      <c r="D70" s="152">
        <f>SUM(D65:D69)</f>
        <v>-3347480.21</v>
      </c>
      <c r="E70" s="152">
        <f>SUM(E65:E69)</f>
        <v>23472219.79</v>
      </c>
      <c r="F70" s="152">
        <f>SUM(F65:F69)</f>
        <v>1578849.9699999997</v>
      </c>
      <c r="G70" s="152">
        <f>SUM(G65:G69)</f>
        <v>12976518.680000002</v>
      </c>
      <c r="H70" s="152">
        <f t="shared" si="1"/>
        <v>3725119.2</v>
      </c>
      <c r="I70" s="152">
        <f t="shared" si="1"/>
        <v>16701637.880000003</v>
      </c>
      <c r="J70" s="152">
        <f t="shared" si="1"/>
        <v>6169094.265555556</v>
      </c>
      <c r="K70" s="94">
        <f>SUM(K65:K69)</f>
        <v>22870732.145555556</v>
      </c>
      <c r="L70" s="94">
        <f>SUM(L65:L69)</f>
        <v>601487.6444444433</v>
      </c>
      <c r="M70" s="94"/>
      <c r="N70" s="95"/>
    </row>
    <row r="71" spans="1:14" ht="16.5" thickTop="1">
      <c r="A71" s="201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</row>
    <row r="72" spans="1:14" ht="15">
      <c r="A72" s="203" t="s">
        <v>273</v>
      </c>
      <c r="B72" s="204"/>
      <c r="C72" s="204"/>
      <c r="D72" s="204"/>
      <c r="E72" s="204"/>
      <c r="F72" s="204"/>
      <c r="G72" s="204"/>
      <c r="H72" s="204"/>
      <c r="I72" s="150"/>
      <c r="J72" s="150"/>
      <c r="K72" s="36"/>
      <c r="L72" s="36"/>
      <c r="M72" s="36"/>
      <c r="N72" s="36"/>
    </row>
    <row r="73" spans="1:15" s="143" customFormat="1" ht="15.75">
      <c r="A73" s="155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153"/>
    </row>
    <row r="74" spans="2:15" s="143" customFormat="1" ht="15"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</row>
    <row r="78" spans="2:5" ht="15">
      <c r="B78" s="1"/>
      <c r="C78" s="2"/>
      <c r="D78" s="1"/>
      <c r="E78" s="30"/>
    </row>
    <row r="79" spans="2:5" ht="15">
      <c r="B79" s="1"/>
      <c r="C79" s="2"/>
      <c r="D79" s="1"/>
      <c r="E79" s="30"/>
    </row>
    <row r="80" spans="2:5" ht="15">
      <c r="B80" s="1"/>
      <c r="C80" s="2"/>
      <c r="D80" s="1"/>
      <c r="E80" s="30"/>
    </row>
    <row r="81" spans="2:5" ht="15">
      <c r="B81" s="1"/>
      <c r="C81" s="2"/>
      <c r="D81" s="1"/>
      <c r="E81" s="30"/>
    </row>
    <row r="82" spans="2:5" ht="15">
      <c r="B82" s="1"/>
      <c r="C82" s="2"/>
      <c r="D82" s="1"/>
      <c r="E82" s="30"/>
    </row>
    <row r="83" spans="2:5" ht="15">
      <c r="B83" s="1"/>
      <c r="C83" s="2"/>
      <c r="D83" s="1"/>
      <c r="E83" s="30"/>
    </row>
    <row r="85" spans="2:5" ht="15">
      <c r="B85" s="30"/>
      <c r="C85" s="2"/>
      <c r="D85" s="30"/>
      <c r="E85" s="30"/>
    </row>
  </sheetData>
  <mergeCells count="3">
    <mergeCell ref="B73:N73"/>
    <mergeCell ref="A71:N71"/>
    <mergeCell ref="A72:H72"/>
  </mergeCells>
  <printOptions horizontalCentered="1" verticalCentered="1"/>
  <pageMargins left="0.5" right="0.5" top="0.5" bottom="0.5" header="0.5" footer="0.5"/>
  <pageSetup horizontalDpi="600" verticalDpi="6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63"/>
  <sheetViews>
    <sheetView showOutlineSymbols="0" view="pageBreakPreview" zoomScale="60" zoomScaleNormal="87" workbookViewId="0" topLeftCell="A1">
      <selection activeCell="E61" sqref="E61"/>
    </sheetView>
  </sheetViews>
  <sheetFormatPr defaultColWidth="8.77734375" defaultRowHeight="15"/>
  <cols>
    <col min="1" max="1" width="28.88671875" style="5" customWidth="1"/>
    <col min="2" max="2" width="16.77734375" style="5" customWidth="1"/>
    <col min="3" max="4" width="12.77734375" style="5" customWidth="1"/>
    <col min="5" max="5" width="11.77734375" style="5" customWidth="1"/>
    <col min="6" max="6" width="10.3359375" style="5" bestFit="1" customWidth="1"/>
    <col min="7" max="7" width="9.4453125" style="5" bestFit="1" customWidth="1"/>
    <col min="8" max="16384" width="8.77734375" style="5" customWidth="1"/>
  </cols>
  <sheetData>
    <row r="1" spans="1:11" ht="21" customHeight="1">
      <c r="A1" s="206" t="s">
        <v>98</v>
      </c>
      <c r="B1" s="206"/>
      <c r="C1" s="4"/>
      <c r="D1" s="4"/>
      <c r="E1" s="4"/>
      <c r="F1" s="4"/>
      <c r="G1" s="4"/>
      <c r="H1" s="4"/>
      <c r="I1" s="4"/>
      <c r="J1" s="4"/>
      <c r="K1" s="4"/>
    </row>
    <row r="2" spans="1:11" ht="15.75" customHeight="1">
      <c r="A2" s="207" t="s">
        <v>103</v>
      </c>
      <c r="B2" s="207"/>
      <c r="C2" s="4"/>
      <c r="D2" s="4"/>
      <c r="E2" s="4"/>
      <c r="F2" s="4"/>
      <c r="G2" s="4"/>
      <c r="H2" s="4"/>
      <c r="I2" s="4"/>
      <c r="J2" s="4"/>
      <c r="K2" s="4"/>
    </row>
    <row r="3" spans="1:11" ht="15.75" customHeight="1">
      <c r="A3" s="205"/>
      <c r="B3" s="205"/>
      <c r="C3" s="135"/>
      <c r="D3" s="135"/>
      <c r="E3" s="135"/>
      <c r="F3" s="135"/>
      <c r="G3" s="135"/>
      <c r="H3" s="135"/>
      <c r="I3" s="135"/>
      <c r="J3" s="135"/>
      <c r="K3" s="4"/>
    </row>
    <row r="4" spans="1:1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7" spans="1:11" ht="15.75">
      <c r="A7" s="6"/>
      <c r="B7" s="7" t="s">
        <v>10</v>
      </c>
      <c r="C7" s="7" t="s">
        <v>75</v>
      </c>
      <c r="D7" s="7" t="s">
        <v>13</v>
      </c>
      <c r="E7" s="7"/>
      <c r="F7" s="7"/>
      <c r="G7" s="8"/>
      <c r="H7" s="8"/>
      <c r="I7" s="8"/>
      <c r="J7" s="8"/>
      <c r="K7" s="9"/>
    </row>
    <row r="8" spans="1:11" ht="15.75">
      <c r="A8" s="10"/>
      <c r="B8" s="11" t="s">
        <v>14</v>
      </c>
      <c r="C8" s="11" t="s">
        <v>25</v>
      </c>
      <c r="D8" s="11" t="s">
        <v>16</v>
      </c>
      <c r="E8" s="11" t="s">
        <v>13</v>
      </c>
      <c r="F8" s="11"/>
      <c r="K8" s="12"/>
    </row>
    <row r="9" spans="1:11" ht="15.75">
      <c r="A9" s="13" t="s">
        <v>18</v>
      </c>
      <c r="B9" s="14" t="s">
        <v>20</v>
      </c>
      <c r="C9" s="14" t="s">
        <v>26</v>
      </c>
      <c r="D9" s="14" t="s">
        <v>26</v>
      </c>
      <c r="E9" s="14" t="s">
        <v>27</v>
      </c>
      <c r="F9" s="14" t="s">
        <v>76</v>
      </c>
      <c r="G9" s="15"/>
      <c r="H9" s="15"/>
      <c r="I9" s="15"/>
      <c r="J9" s="15"/>
      <c r="K9" s="16"/>
    </row>
    <row r="11" spans="1:2" ht="15">
      <c r="A11" s="5" t="s">
        <v>77</v>
      </c>
      <c r="B11" s="17">
        <f>+MCB!E15</f>
        <v>23472219.79</v>
      </c>
    </row>
    <row r="14" spans="1:5" ht="15">
      <c r="A14" s="5" t="s">
        <v>33</v>
      </c>
      <c r="B14" s="17">
        <f>+MCB!E17</f>
        <v>6740000</v>
      </c>
      <c r="C14" s="17">
        <f>MCB!$G$17</f>
        <v>4130104.59</v>
      </c>
      <c r="D14" s="17">
        <f>MCB!$K$17</f>
        <v>5867683.59</v>
      </c>
      <c r="E14" s="17">
        <f>MCB!$L$17</f>
        <v>872316.4100000001</v>
      </c>
    </row>
    <row r="16" spans="1:5" ht="15">
      <c r="A16" s="5" t="s">
        <v>34</v>
      </c>
      <c r="B16" s="17">
        <f>+MCB!E19</f>
        <v>1430000</v>
      </c>
      <c r="C16" s="17">
        <f>MCB!$G$19</f>
        <v>930652.41</v>
      </c>
      <c r="D16" s="17">
        <f>MCB!$K$19</f>
        <v>1292883.4100000001</v>
      </c>
      <c r="E16" s="17">
        <f>MCB!$L$19</f>
        <v>137116.58999999985</v>
      </c>
    </row>
    <row r="18" spans="1:5" ht="15">
      <c r="A18" s="5" t="s">
        <v>35</v>
      </c>
      <c r="B18" s="17">
        <f>+MCB!E21</f>
        <v>3120000</v>
      </c>
      <c r="C18" s="17">
        <f>MCB!$G$21</f>
        <v>1916061.82</v>
      </c>
      <c r="D18" s="17">
        <f>MCB!$K$21</f>
        <v>2993795.77</v>
      </c>
      <c r="E18" s="17">
        <f>MCB!$L$21</f>
        <v>126204.22999999998</v>
      </c>
    </row>
    <row r="20" spans="1:5" ht="15">
      <c r="A20" s="129" t="s">
        <v>88</v>
      </c>
      <c r="B20" s="17">
        <f>+MCB!E23</f>
        <v>125000</v>
      </c>
      <c r="C20" s="17">
        <f>MCB!$G$23</f>
        <v>27712.74</v>
      </c>
      <c r="D20" s="17">
        <f>MCB!$K$23</f>
        <v>47431.51333333332</v>
      </c>
      <c r="E20" s="17">
        <f>MCB!$L$23</f>
        <v>77568.48666666668</v>
      </c>
    </row>
    <row r="22" spans="1:5" ht="15">
      <c r="A22" s="129" t="s">
        <v>261</v>
      </c>
      <c r="B22" s="17">
        <f>+MCB!E25</f>
        <v>382000</v>
      </c>
      <c r="C22" s="17">
        <f>MCB!$G$25</f>
        <v>229281.16999999998</v>
      </c>
      <c r="D22" s="17">
        <f>MCB!$K$25</f>
        <v>352285.1322222222</v>
      </c>
      <c r="E22" s="17">
        <f>MCB!$L$25</f>
        <v>29714.867777777778</v>
      </c>
    </row>
    <row r="24" spans="1:5" ht="15">
      <c r="A24" s="5" t="s">
        <v>78</v>
      </c>
      <c r="B24" s="17">
        <f>+MCB!E27</f>
        <v>132000</v>
      </c>
      <c r="C24" s="17">
        <f>MCB!$G$27</f>
        <v>92176.68</v>
      </c>
      <c r="D24" s="17">
        <f>MCB!$K$27</f>
        <v>131791.09333333332</v>
      </c>
      <c r="E24" s="17">
        <f>MCB!$L$27</f>
        <v>208.90666666667676</v>
      </c>
    </row>
    <row r="26" spans="1:5" ht="15">
      <c r="A26" s="5" t="s">
        <v>79</v>
      </c>
      <c r="B26" s="17">
        <f>+MCB!E29</f>
        <v>112000</v>
      </c>
      <c r="C26" s="17">
        <f>MCB!$G$29</f>
        <v>63084.07</v>
      </c>
      <c r="D26" s="17">
        <f>MCB!$K$29</f>
        <v>89310.43444444444</v>
      </c>
      <c r="E26" s="17">
        <f>MCB!$L$29</f>
        <v>22689.565555555557</v>
      </c>
    </row>
    <row r="28" spans="1:5" ht="15">
      <c r="A28" s="5" t="s">
        <v>80</v>
      </c>
      <c r="B28" s="17">
        <f>+MCB!E31</f>
        <v>5320000</v>
      </c>
      <c r="C28" s="17">
        <f>MCB!$G$31</f>
        <v>2106455.85</v>
      </c>
      <c r="D28" s="17">
        <f>MCB!$K$31</f>
        <v>5310813.956666667</v>
      </c>
      <c r="E28" s="17">
        <f>MCB!$L$31</f>
        <v>9186.043333332986</v>
      </c>
    </row>
    <row r="29" spans="2:5" ht="15">
      <c r="B29" s="17"/>
      <c r="C29" s="17"/>
      <c r="D29" s="17"/>
      <c r="E29" s="17"/>
    </row>
    <row r="30" spans="1:5" ht="15">
      <c r="A30" s="129" t="s">
        <v>100</v>
      </c>
      <c r="B30" s="17">
        <f>+MCB!E33</f>
        <v>2000</v>
      </c>
      <c r="C30" s="17">
        <f>MCB!$G$33</f>
        <v>0</v>
      </c>
      <c r="D30" s="17">
        <f>MCB!$K$33</f>
        <v>0</v>
      </c>
      <c r="E30" s="17">
        <f>MCB!$L$33</f>
        <v>2000</v>
      </c>
    </row>
    <row r="31" spans="2:5" ht="15">
      <c r="B31" s="17"/>
      <c r="C31" s="17"/>
      <c r="D31" s="17"/>
      <c r="E31" s="17"/>
    </row>
    <row r="32" spans="1:5" ht="15">
      <c r="A32" s="5" t="s">
        <v>81</v>
      </c>
      <c r="B32" s="17">
        <f>+MCB!E35</f>
        <v>620000</v>
      </c>
      <c r="C32" s="17">
        <f>MCB!$G$35</f>
        <v>369335.59</v>
      </c>
      <c r="D32" s="17">
        <f>MCB!$K$35</f>
        <v>536391.7411111111</v>
      </c>
      <c r="E32" s="17">
        <f>MCB!$L$35</f>
        <v>83608.25888888887</v>
      </c>
    </row>
    <row r="34" spans="1:5" ht="15">
      <c r="A34" s="5" t="s">
        <v>82</v>
      </c>
      <c r="B34" s="17">
        <f>+MCB!E37</f>
        <v>820000</v>
      </c>
      <c r="C34" s="17">
        <f>MCB!$G$37</f>
        <v>426484.7</v>
      </c>
      <c r="D34" s="17">
        <f>MCB!$K$37</f>
        <v>810264.0766666667</v>
      </c>
      <c r="E34" s="17">
        <f>MCB!$L$37</f>
        <v>9735.92333333334</v>
      </c>
    </row>
    <row r="35" spans="2:5" ht="15">
      <c r="B35" s="17"/>
      <c r="C35" s="17"/>
      <c r="D35" s="17"/>
      <c r="E35" s="17"/>
    </row>
    <row r="36" spans="1:5" ht="15">
      <c r="A36" s="5" t="s">
        <v>83</v>
      </c>
      <c r="B36" s="17">
        <f>+MCB!E39</f>
        <v>150000</v>
      </c>
      <c r="C36" s="17">
        <f>MCB!$G$39</f>
        <v>77726.51</v>
      </c>
      <c r="D36" s="17">
        <f>MCB!$K$39</f>
        <v>122975.43333333332</v>
      </c>
      <c r="E36" s="17">
        <f>MCB!$L$39</f>
        <v>27024.56666666668</v>
      </c>
    </row>
    <row r="37" spans="3:5" ht="15">
      <c r="C37" s="17"/>
      <c r="D37" s="17"/>
      <c r="E37" s="17"/>
    </row>
    <row r="38" spans="1:5" ht="15">
      <c r="A38" s="195" t="s">
        <v>104</v>
      </c>
      <c r="B38" s="17">
        <f>+MCB!E41</f>
        <v>0</v>
      </c>
      <c r="C38" s="17">
        <f>MCB!$G$41</f>
        <v>0</v>
      </c>
      <c r="D38" s="17">
        <f>MCB!$K$41</f>
        <v>0</v>
      </c>
      <c r="E38" s="17">
        <f>MCB!$L$41</f>
        <v>0</v>
      </c>
    </row>
    <row r="39" ht="15">
      <c r="C39" s="17"/>
    </row>
    <row r="40" spans="1:5" ht="15">
      <c r="A40" s="5" t="s">
        <v>84</v>
      </c>
      <c r="B40" s="17">
        <f>+MCB!E43</f>
        <v>17000</v>
      </c>
      <c r="C40" s="17">
        <f>MCB!$G$43</f>
        <v>0</v>
      </c>
      <c r="D40" s="17">
        <f>MCB!$K$43</f>
        <v>7578.32</v>
      </c>
      <c r="E40" s="17">
        <f>MCB!$L$43</f>
        <v>9421.68</v>
      </c>
    </row>
    <row r="41" spans="3:5" ht="15">
      <c r="C41" s="17"/>
      <c r="D41" s="17"/>
      <c r="E41" s="17"/>
    </row>
    <row r="42" spans="1:5" ht="15">
      <c r="A42" s="195" t="s">
        <v>262</v>
      </c>
      <c r="B42" s="17">
        <f>+MCB!E45</f>
        <v>515000</v>
      </c>
      <c r="C42" s="17">
        <f>MCB!$G$45</f>
        <v>203469.92</v>
      </c>
      <c r="D42" s="17">
        <f>MCB!$K$45</f>
        <v>508470.2266666667</v>
      </c>
      <c r="E42" s="17">
        <f>MCB!$L$45</f>
        <v>6529.773333333316</v>
      </c>
    </row>
    <row r="44" spans="1:5" ht="15">
      <c r="A44" s="129" t="s">
        <v>102</v>
      </c>
      <c r="B44" s="132">
        <f>+MCB!E47</f>
        <v>590000</v>
      </c>
      <c r="C44" s="17">
        <f>MCB!$G$47</f>
        <v>305280.22</v>
      </c>
      <c r="D44" s="17">
        <f>MCB!$K$47</f>
        <v>586372.2933333333</v>
      </c>
      <c r="E44" s="17">
        <f>MCB!$L$47</f>
        <v>3627.706666666665</v>
      </c>
    </row>
    <row r="46" spans="1:5" ht="15">
      <c r="A46" s="129" t="s">
        <v>101</v>
      </c>
      <c r="B46" s="132">
        <f>+MCB!E49</f>
        <v>380000</v>
      </c>
      <c r="C46" s="17">
        <f>MCB!$G$49</f>
        <v>249856.4</v>
      </c>
      <c r="D46" s="17">
        <f>MCB!$K$49</f>
        <v>374305.9866666667</v>
      </c>
      <c r="E46" s="17">
        <f>MCB!$L$49</f>
        <v>5694.013333333307</v>
      </c>
    </row>
    <row r="47" spans="3:5" ht="15">
      <c r="C47" s="17"/>
      <c r="D47" s="17"/>
      <c r="E47" s="17"/>
    </row>
    <row r="48" spans="1:5" ht="15">
      <c r="A48" s="195" t="s">
        <v>112</v>
      </c>
      <c r="B48" s="17">
        <f>+MCB!E51</f>
        <v>0</v>
      </c>
      <c r="C48" s="17">
        <f>MCB!$G$51</f>
        <v>0</v>
      </c>
      <c r="D48" s="17">
        <f>MCB!$K$51</f>
        <v>0</v>
      </c>
      <c r="E48" s="17">
        <f>MCB!$L$51</f>
        <v>0</v>
      </c>
    </row>
    <row r="50" spans="1:5" ht="15">
      <c r="A50" s="129" t="s">
        <v>105</v>
      </c>
      <c r="B50" s="132">
        <f>+MCB!E53</f>
        <v>4200000</v>
      </c>
      <c r="C50" s="17">
        <f>MCB!$G$53</f>
        <v>1832309.77</v>
      </c>
      <c r="D50" s="17">
        <f>MCB!$K$53</f>
        <v>3808930.267777778</v>
      </c>
      <c r="E50" s="17">
        <f>MCB!$L$53</f>
        <v>391069.7322222218</v>
      </c>
    </row>
    <row r="52" spans="1:5" ht="15">
      <c r="A52" s="129" t="s">
        <v>110</v>
      </c>
      <c r="B52" s="132">
        <f>+MCB!E55</f>
        <v>37000</v>
      </c>
      <c r="C52" s="17">
        <f>MCB!$G$55</f>
        <v>16525.98</v>
      </c>
      <c r="D52" s="17">
        <f>MCB!$K$55</f>
        <v>29448.64</v>
      </c>
      <c r="E52" s="17">
        <f>MCB!$L$55</f>
        <v>7551.360000000001</v>
      </c>
    </row>
    <row r="54" spans="1:5" ht="15">
      <c r="A54" s="129" t="s">
        <v>111</v>
      </c>
      <c r="B54" s="132">
        <f>+MCB!E57</f>
        <v>0</v>
      </c>
      <c r="C54" s="17">
        <f>MCB!$G$57</f>
        <v>0</v>
      </c>
      <c r="D54" s="17">
        <f>MCB!$K$57</f>
        <v>0</v>
      </c>
      <c r="E54" s="17">
        <f>MCB!$L$57</f>
        <v>0</v>
      </c>
    </row>
    <row r="56" spans="1:5" ht="15">
      <c r="A56" s="5" t="s">
        <v>40</v>
      </c>
      <c r="B56" s="17">
        <f>SUM(B14:B55)</f>
        <v>24692000</v>
      </c>
      <c r="C56" s="17">
        <f>SUM(C14:C54)</f>
        <v>12976518.42</v>
      </c>
      <c r="D56" s="17">
        <f>SUM(D14:D54)</f>
        <v>22870731.885555558</v>
      </c>
      <c r="E56" s="17">
        <f>B56-D56</f>
        <v>1821268.114444442</v>
      </c>
    </row>
    <row r="58" spans="1:7" ht="15">
      <c r="A58" s="5" t="s">
        <v>41</v>
      </c>
      <c r="B58" s="17">
        <f>B11-B56</f>
        <v>-1219780.210000001</v>
      </c>
      <c r="C58" s="17">
        <f>B11-C56</f>
        <v>10495701.37</v>
      </c>
      <c r="D58" s="17">
        <f>B11-D56</f>
        <v>601487.9044444412</v>
      </c>
      <c r="E58" s="17">
        <f>B58+E56</f>
        <v>601487.9044444412</v>
      </c>
      <c r="F58" s="17"/>
      <c r="G58" s="28"/>
    </row>
    <row r="59" spans="2:7" ht="15">
      <c r="B59" s="17"/>
      <c r="C59" s="17"/>
      <c r="D59" s="17"/>
      <c r="E59" s="17"/>
      <c r="F59" s="17"/>
      <c r="G59" s="28"/>
    </row>
    <row r="60" spans="1:7" ht="15">
      <c r="A60" s="129" t="s">
        <v>265</v>
      </c>
      <c r="B60" s="17"/>
      <c r="C60" s="17"/>
      <c r="D60" s="17"/>
      <c r="E60" s="17">
        <v>1067756</v>
      </c>
      <c r="F60" s="17"/>
      <c r="G60" s="28"/>
    </row>
    <row r="61" spans="2:7" ht="15">
      <c r="B61" s="17"/>
      <c r="C61" s="17"/>
      <c r="D61" s="17"/>
      <c r="E61" s="17"/>
      <c r="F61" s="130"/>
      <c r="G61" s="196"/>
    </row>
    <row r="62" spans="2:7" ht="15">
      <c r="B62" s="17"/>
      <c r="C62" s="17"/>
      <c r="D62" s="17"/>
      <c r="E62" s="133"/>
      <c r="F62" s="17"/>
      <c r="G62" s="18"/>
    </row>
    <row r="63" spans="2:7" ht="15">
      <c r="B63" s="17"/>
      <c r="C63" s="17"/>
      <c r="D63" s="17"/>
      <c r="E63" s="17"/>
      <c r="F63" s="19"/>
      <c r="G63" s="18"/>
    </row>
  </sheetData>
  <mergeCells count="3">
    <mergeCell ref="A3:B3"/>
    <mergeCell ref="A1:B1"/>
    <mergeCell ref="A2:B2"/>
  </mergeCells>
  <printOptions horizontalCentered="1" verticalCentered="1"/>
  <pageMargins left="0.5" right="0.5" top="1" bottom="0.75" header="0.5" footer="0.5"/>
  <pageSetup fitToHeight="1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66"/>
  <sheetViews>
    <sheetView showOutlineSymbols="0" zoomScale="87" zoomScaleNormal="87" workbookViewId="0" topLeftCell="A1">
      <selection activeCell="A1" sqref="A1"/>
    </sheetView>
  </sheetViews>
  <sheetFormatPr defaultColWidth="8.77734375" defaultRowHeight="15"/>
  <cols>
    <col min="1" max="1" width="8.77734375" style="3" customWidth="1"/>
    <col min="2" max="2" width="42.3359375" style="3" customWidth="1"/>
    <col min="3" max="3" width="51.21484375" style="3" customWidth="1"/>
    <col min="4" max="4" width="9.6640625" style="3" bestFit="1" customWidth="1"/>
    <col min="5" max="5" width="10.10546875" style="3" bestFit="1" customWidth="1"/>
    <col min="6" max="6" width="10.99609375" style="3" customWidth="1"/>
    <col min="7" max="7" width="14.4453125" style="3" customWidth="1"/>
    <col min="8" max="8" width="12.6640625" style="3" customWidth="1"/>
    <col min="9" max="9" width="12.21484375" style="3" customWidth="1"/>
    <col min="10" max="11" width="14.4453125" style="3" customWidth="1"/>
    <col min="12" max="12" width="3.77734375" style="3" customWidth="1"/>
    <col min="13" max="16384" width="8.77734375" style="3" customWidth="1"/>
  </cols>
  <sheetData>
    <row r="1" spans="1:11" ht="15.75">
      <c r="A1" s="29" t="s">
        <v>98</v>
      </c>
      <c r="B1" s="121"/>
      <c r="C1" s="99"/>
      <c r="D1" s="99"/>
      <c r="E1" s="120"/>
      <c r="F1" s="119"/>
      <c r="G1" s="119"/>
      <c r="H1" s="119"/>
      <c r="I1" s="119"/>
      <c r="J1" s="119"/>
      <c r="K1" s="99"/>
    </row>
    <row r="2" spans="1:11" ht="15.75">
      <c r="A2" s="118" t="s">
        <v>89</v>
      </c>
      <c r="B2" s="121"/>
      <c r="C2" s="99"/>
      <c r="D2" s="99"/>
      <c r="E2" s="120"/>
      <c r="F2" s="119"/>
      <c r="G2" s="119"/>
      <c r="H2" s="119"/>
      <c r="I2" s="119"/>
      <c r="J2" s="119"/>
      <c r="K2" s="99"/>
    </row>
    <row r="3" spans="1:11" ht="15.75">
      <c r="A3" s="134" t="str">
        <f>MCB!$A$3</f>
        <v>FY 2011 Financial Report - June 2011</v>
      </c>
      <c r="B3" s="121"/>
      <c r="C3" s="99"/>
      <c r="D3" s="99"/>
      <c r="E3" s="120"/>
      <c r="F3" s="119"/>
      <c r="G3" s="119"/>
      <c r="H3" s="119"/>
      <c r="I3" s="119"/>
      <c r="J3" s="119"/>
      <c r="K3" s="99"/>
    </row>
    <row r="4" spans="1:11" ht="15.75">
      <c r="A4" s="121"/>
      <c r="B4" s="121"/>
      <c r="C4" s="121"/>
      <c r="D4" s="122"/>
      <c r="E4" s="119"/>
      <c r="F4" s="123"/>
      <c r="G4" s="119"/>
      <c r="H4" s="119"/>
      <c r="I4" s="119"/>
      <c r="J4" s="119"/>
      <c r="K4" s="99"/>
    </row>
    <row r="5" spans="1:11" ht="15">
      <c r="A5" s="99"/>
      <c r="B5" s="99"/>
      <c r="C5" s="99"/>
      <c r="D5" s="100"/>
      <c r="E5" s="99"/>
      <c r="F5" s="101"/>
      <c r="G5" s="99"/>
      <c r="H5" s="99"/>
      <c r="I5" s="99"/>
      <c r="J5" s="99"/>
      <c r="K5" s="99"/>
    </row>
    <row r="6" spans="1:11" ht="15.75">
      <c r="A6" s="106" t="s">
        <v>45</v>
      </c>
      <c r="B6" s="99"/>
      <c r="C6" s="99"/>
      <c r="D6" s="100"/>
      <c r="E6" s="99"/>
      <c r="F6" s="101"/>
      <c r="G6" s="99"/>
      <c r="H6" s="99"/>
      <c r="I6" s="99"/>
      <c r="J6" s="99"/>
      <c r="K6" s="99"/>
    </row>
    <row r="7" spans="1:11" ht="15">
      <c r="A7" s="99"/>
      <c r="B7" s="99"/>
      <c r="C7" s="99"/>
      <c r="D7" s="100"/>
      <c r="E7" s="99"/>
      <c r="F7" s="101"/>
      <c r="G7" s="99"/>
      <c r="H7" s="99"/>
      <c r="I7" s="99"/>
      <c r="J7" s="99"/>
      <c r="K7" s="99"/>
    </row>
    <row r="8" spans="1:11" ht="15">
      <c r="A8" s="99" t="s">
        <v>46</v>
      </c>
      <c r="B8" s="136">
        <f>MCB!N6</f>
        <v>14</v>
      </c>
      <c r="C8" s="99" t="s">
        <v>47</v>
      </c>
      <c r="D8" s="136">
        <f>+MCB!N8</f>
        <v>8</v>
      </c>
      <c r="E8" s="99"/>
      <c r="F8" s="101"/>
      <c r="G8" s="99"/>
      <c r="H8" s="99"/>
      <c r="I8" s="99"/>
      <c r="J8" s="99"/>
      <c r="K8" s="99"/>
    </row>
    <row r="9" spans="1:11" ht="15">
      <c r="A9" s="99"/>
      <c r="B9" s="99"/>
      <c r="C9" s="99"/>
      <c r="D9" s="100"/>
      <c r="E9" s="99"/>
      <c r="F9" s="101"/>
      <c r="G9" s="99"/>
      <c r="H9" s="99"/>
      <c r="I9" s="99"/>
      <c r="J9" s="99"/>
      <c r="K9" s="99"/>
    </row>
    <row r="10" spans="1:11" ht="15.75">
      <c r="A10" s="99"/>
      <c r="B10" s="99"/>
      <c r="C10" s="99"/>
      <c r="D10" s="100"/>
      <c r="E10" s="99"/>
      <c r="F10" s="101"/>
      <c r="G10" s="120" t="s">
        <v>109</v>
      </c>
      <c r="H10" s="120" t="s">
        <v>48</v>
      </c>
      <c r="I10" s="120" t="s">
        <v>107</v>
      </c>
      <c r="J10" s="120" t="s">
        <v>25</v>
      </c>
      <c r="K10" s="99"/>
    </row>
    <row r="11" spans="1:11" ht="15.75">
      <c r="A11" s="99"/>
      <c r="B11" s="99"/>
      <c r="C11" s="99"/>
      <c r="D11" s="100"/>
      <c r="E11" s="99"/>
      <c r="F11" s="101"/>
      <c r="G11" s="120"/>
      <c r="H11" s="120"/>
      <c r="I11" s="120"/>
      <c r="J11" s="120"/>
      <c r="K11" s="99"/>
    </row>
    <row r="12" spans="1:11" ht="15">
      <c r="A12" s="99" t="s">
        <v>50</v>
      </c>
      <c r="B12" s="99"/>
      <c r="C12" s="99"/>
      <c r="D12" s="100"/>
      <c r="E12" s="99"/>
      <c r="F12" s="101"/>
      <c r="G12" s="105">
        <v>1737579</v>
      </c>
      <c r="H12" s="105">
        <v>362231</v>
      </c>
      <c r="I12" s="105">
        <v>633649</v>
      </c>
      <c r="J12" s="105">
        <f>I12+H12+G12</f>
        <v>2733459</v>
      </c>
      <c r="K12" s="99"/>
    </row>
    <row r="13" spans="1:11" ht="15.75">
      <c r="A13" s="99"/>
      <c r="B13" s="137"/>
      <c r="C13" s="99"/>
      <c r="D13" s="100"/>
      <c r="E13" s="99"/>
      <c r="F13" s="101"/>
      <c r="G13" s="99"/>
      <c r="H13" s="99"/>
      <c r="I13" s="99"/>
      <c r="J13" s="99"/>
      <c r="K13" s="99"/>
    </row>
    <row r="14" spans="1:11" ht="15.75">
      <c r="A14" s="99"/>
      <c r="B14" s="137" t="s">
        <v>108</v>
      </c>
      <c r="C14" s="99"/>
      <c r="D14" s="100"/>
      <c r="E14" s="99"/>
      <c r="F14" s="101"/>
      <c r="G14" s="99"/>
      <c r="H14" s="99"/>
      <c r="I14" s="99"/>
      <c r="J14" s="99"/>
      <c r="K14" s="99"/>
    </row>
    <row r="15" spans="1:11" ht="15.75">
      <c r="A15" s="106" t="s">
        <v>51</v>
      </c>
      <c r="B15" s="99"/>
      <c r="C15" s="99"/>
      <c r="D15" s="100"/>
      <c r="E15" s="99"/>
      <c r="F15" s="101"/>
      <c r="G15" s="99"/>
      <c r="H15" s="99"/>
      <c r="I15" s="99"/>
      <c r="J15" s="99"/>
      <c r="K15" s="99"/>
    </row>
    <row r="16" spans="1:11" ht="15">
      <c r="A16" s="99"/>
      <c r="B16" s="99"/>
      <c r="C16" s="99"/>
      <c r="D16" s="100"/>
      <c r="E16" s="99"/>
      <c r="F16" s="101"/>
      <c r="G16" s="99"/>
      <c r="H16" s="99"/>
      <c r="I16" s="99"/>
      <c r="J16" s="99"/>
      <c r="K16" s="99"/>
    </row>
    <row r="17" spans="1:11" ht="15">
      <c r="A17" s="99" t="s">
        <v>113</v>
      </c>
      <c r="B17" s="99"/>
      <c r="C17" s="99"/>
      <c r="D17" s="100"/>
      <c r="E17" s="99"/>
      <c r="F17" s="99"/>
      <c r="G17" s="99"/>
      <c r="H17" s="102"/>
      <c r="I17" s="102"/>
      <c r="J17" s="102"/>
      <c r="K17" s="99"/>
    </row>
    <row r="18" spans="1:11" ht="15">
      <c r="A18" s="99"/>
      <c r="B18" s="99"/>
      <c r="C18" s="99"/>
      <c r="D18" s="100"/>
      <c r="E18" s="99"/>
      <c r="F18" s="149" t="s">
        <v>52</v>
      </c>
      <c r="G18" s="148" t="s">
        <v>13</v>
      </c>
      <c r="H18" s="102"/>
      <c r="I18" s="102"/>
      <c r="J18" s="102"/>
      <c r="K18" s="99"/>
    </row>
    <row r="19" spans="1:11" ht="15">
      <c r="A19" s="146" t="s">
        <v>53</v>
      </c>
      <c r="B19" s="146" t="s">
        <v>54</v>
      </c>
      <c r="C19" s="146"/>
      <c r="D19" s="147" t="s">
        <v>56</v>
      </c>
      <c r="E19" s="148" t="s">
        <v>57</v>
      </c>
      <c r="F19" s="149" t="s">
        <v>58</v>
      </c>
      <c r="G19" s="148" t="s">
        <v>59</v>
      </c>
      <c r="H19" s="148" t="s">
        <v>48</v>
      </c>
      <c r="I19" s="148" t="s">
        <v>49</v>
      </c>
      <c r="J19" s="148" t="s">
        <v>25</v>
      </c>
      <c r="K19" s="99"/>
    </row>
    <row r="20" spans="1:11" s="158" customFormat="1" ht="15">
      <c r="A20" s="160" t="s">
        <v>266</v>
      </c>
      <c r="B20" s="99" t="s">
        <v>270</v>
      </c>
      <c r="C20" s="161" t="s">
        <v>267</v>
      </c>
      <c r="D20" s="108">
        <v>17.54</v>
      </c>
      <c r="E20" s="162">
        <f>+D20*40</f>
        <v>701.5999999999999</v>
      </c>
      <c r="F20" s="107"/>
      <c r="G20" s="162">
        <f>+E20*F20</f>
        <v>0</v>
      </c>
      <c r="H20" s="162">
        <f>+G20*0.25</f>
        <v>0</v>
      </c>
      <c r="I20" s="162">
        <f>+G20*0.3</f>
        <v>0</v>
      </c>
      <c r="J20" s="162">
        <f>SUM(G20:I20)</f>
        <v>0</v>
      </c>
      <c r="K20" s="99"/>
    </row>
    <row r="21" spans="1:11" s="158" customFormat="1" ht="15">
      <c r="A21" s="160" t="s">
        <v>266</v>
      </c>
      <c r="B21" s="99" t="s">
        <v>271</v>
      </c>
      <c r="C21" s="161" t="s">
        <v>268</v>
      </c>
      <c r="D21" s="108">
        <v>17.54</v>
      </c>
      <c r="E21" s="162">
        <f>+D21*40</f>
        <v>701.5999999999999</v>
      </c>
      <c r="F21" s="107"/>
      <c r="G21" s="162">
        <f>+E21*F21</f>
        <v>0</v>
      </c>
      <c r="H21" s="162">
        <f>+G21*0.25</f>
        <v>0</v>
      </c>
      <c r="I21" s="162">
        <f>+G21*0.3</f>
        <v>0</v>
      </c>
      <c r="J21" s="162">
        <f>SUM(G21:I21)</f>
        <v>0</v>
      </c>
      <c r="K21" s="99"/>
    </row>
    <row r="22" spans="1:11" ht="15">
      <c r="A22" s="145" t="s">
        <v>117</v>
      </c>
      <c r="B22" s="99" t="s">
        <v>272</v>
      </c>
      <c r="C22" s="161" t="s">
        <v>253</v>
      </c>
      <c r="D22" s="108">
        <v>16.61</v>
      </c>
      <c r="E22" s="162">
        <f>D22*80</f>
        <v>1328.8</v>
      </c>
      <c r="F22" s="107"/>
      <c r="G22" s="162">
        <f>E22*F22</f>
        <v>0</v>
      </c>
      <c r="H22" s="162">
        <f>+G22*0.25</f>
        <v>0</v>
      </c>
      <c r="I22" s="162">
        <f>+G22*0.3</f>
        <v>0</v>
      </c>
      <c r="J22" s="163">
        <f>I22+H22+G22</f>
        <v>0</v>
      </c>
      <c r="K22" s="99"/>
    </row>
    <row r="23" spans="1:11" ht="15">
      <c r="A23" s="145"/>
      <c r="B23" s="99" t="s">
        <v>264</v>
      </c>
      <c r="C23" s="161"/>
      <c r="D23" s="108"/>
      <c r="E23" s="162"/>
      <c r="F23" s="107"/>
      <c r="G23" s="162"/>
      <c r="H23" s="162"/>
      <c r="I23" s="162">
        <v>146422.59</v>
      </c>
      <c r="J23" s="163"/>
      <c r="K23" s="99"/>
    </row>
    <row r="24" spans="1:11" ht="15.75" thickBot="1">
      <c r="A24" s="157"/>
      <c r="B24" s="99"/>
      <c r="C24" s="99" t="s">
        <v>44</v>
      </c>
      <c r="D24" s="100"/>
      <c r="E24" s="162"/>
      <c r="F24" s="101"/>
      <c r="G24" s="140">
        <f>SUM(G22:G23)</f>
        <v>0</v>
      </c>
      <c r="H24" s="140">
        <f>SUM(H22:H23)</f>
        <v>0</v>
      </c>
      <c r="I24" s="140">
        <f>SUM(I22:I23)</f>
        <v>146422.59</v>
      </c>
      <c r="J24" s="140">
        <f>SUM(J22:J23)</f>
        <v>0</v>
      </c>
      <c r="K24" s="99"/>
    </row>
    <row r="25" spans="1:11" ht="15.75" thickTop="1">
      <c r="A25" s="109"/>
      <c r="B25" s="99"/>
      <c r="C25" s="99"/>
      <c r="D25" s="100"/>
      <c r="E25" s="99"/>
      <c r="F25" s="101"/>
      <c r="G25" s="99"/>
      <c r="H25" s="99"/>
      <c r="I25" s="99"/>
      <c r="J25" s="99"/>
      <c r="K25" s="99"/>
    </row>
    <row r="26" spans="1:11" ht="15">
      <c r="A26" s="99"/>
      <c r="B26" s="99"/>
      <c r="C26" s="99"/>
      <c r="D26" s="100"/>
      <c r="E26" s="99"/>
      <c r="F26" s="101"/>
      <c r="G26" s="99"/>
      <c r="H26" s="99"/>
      <c r="I26" s="99"/>
      <c r="J26" s="99"/>
      <c r="K26" s="99"/>
    </row>
    <row r="27" spans="1:11" ht="11.25" customHeight="1">
      <c r="A27" s="99"/>
      <c r="B27" s="99"/>
      <c r="C27" s="99"/>
      <c r="D27" s="100"/>
      <c r="E27" s="99"/>
      <c r="F27" s="101"/>
      <c r="G27" s="99"/>
      <c r="H27" s="99"/>
      <c r="I27" s="99"/>
      <c r="J27" s="99"/>
      <c r="K27" s="99"/>
    </row>
    <row r="28" spans="1:11" ht="30">
      <c r="A28" s="99" t="s">
        <v>60</v>
      </c>
      <c r="B28" s="99"/>
      <c r="C28" s="99"/>
      <c r="D28" s="110" t="s">
        <v>61</v>
      </c>
      <c r="E28" s="102" t="s">
        <v>57</v>
      </c>
      <c r="F28" s="111" t="s">
        <v>62</v>
      </c>
      <c r="G28" s="112" t="s">
        <v>63</v>
      </c>
      <c r="H28" s="102" t="s">
        <v>48</v>
      </c>
      <c r="I28" s="102" t="s">
        <v>49</v>
      </c>
      <c r="J28" s="102" t="s">
        <v>25</v>
      </c>
      <c r="K28" s="99"/>
    </row>
    <row r="29" spans="1:11" ht="15">
      <c r="A29" s="99" t="s">
        <v>64</v>
      </c>
      <c r="B29" s="99"/>
      <c r="C29" s="99"/>
      <c r="D29" s="99"/>
      <c r="E29" s="99"/>
      <c r="F29" s="101"/>
      <c r="G29" s="102" t="s">
        <v>4</v>
      </c>
      <c r="H29" s="99"/>
      <c r="I29" s="99"/>
      <c r="J29" s="99"/>
      <c r="K29" s="99"/>
    </row>
    <row r="30" spans="1:11" ht="15">
      <c r="A30" s="99"/>
      <c r="B30" s="99"/>
      <c r="C30" s="99"/>
      <c r="D30" s="109"/>
      <c r="E30" s="99"/>
      <c r="F30" s="101"/>
      <c r="G30" s="99"/>
      <c r="H30" s="99"/>
      <c r="I30" s="99"/>
      <c r="J30" s="99"/>
      <c r="K30" s="99"/>
    </row>
    <row r="31" spans="1:11" ht="15">
      <c r="A31" s="99" t="s">
        <v>25</v>
      </c>
      <c r="B31" s="99"/>
      <c r="C31" s="99"/>
      <c r="D31" s="100"/>
      <c r="E31" s="109"/>
      <c r="F31" s="101"/>
      <c r="G31" s="100">
        <f>SUM(G30)</f>
        <v>0</v>
      </c>
      <c r="H31" s="100">
        <f>SUM(H30)</f>
        <v>0</v>
      </c>
      <c r="I31" s="100">
        <f>SUM(I30)</f>
        <v>0</v>
      </c>
      <c r="J31" s="100">
        <f>SUM(J30)</f>
        <v>0</v>
      </c>
      <c r="K31" s="99"/>
    </row>
    <row r="32" spans="1:11" ht="15">
      <c r="A32" s="99"/>
      <c r="B32" s="99"/>
      <c r="C32" s="99"/>
      <c r="D32" s="100"/>
      <c r="E32" s="109"/>
      <c r="F32" s="101"/>
      <c r="G32" s="99"/>
      <c r="H32" s="99"/>
      <c r="I32" s="99"/>
      <c r="J32" s="99"/>
      <c r="K32" s="99"/>
    </row>
    <row r="33" spans="1:11" ht="15">
      <c r="A33" s="99" t="s">
        <v>85</v>
      </c>
      <c r="B33" s="99"/>
      <c r="C33" s="113"/>
      <c r="D33" s="100"/>
      <c r="E33" s="109"/>
      <c r="F33" s="101"/>
      <c r="G33" s="114">
        <v>0</v>
      </c>
      <c r="H33" s="100">
        <v>0</v>
      </c>
      <c r="I33" s="100">
        <v>0</v>
      </c>
      <c r="J33" s="100">
        <f>SUM(H33:I33)</f>
        <v>0</v>
      </c>
      <c r="K33" s="99"/>
    </row>
    <row r="34" spans="1:11" ht="15">
      <c r="A34" s="99" t="s">
        <v>4</v>
      </c>
      <c r="B34" s="99"/>
      <c r="C34" s="99"/>
      <c r="D34" s="100"/>
      <c r="E34" s="99"/>
      <c r="F34" s="101"/>
      <c r="G34" s="99"/>
      <c r="H34" s="99"/>
      <c r="I34" s="99"/>
      <c r="J34" s="99"/>
      <c r="K34" s="99"/>
    </row>
    <row r="35" spans="1:11" ht="15.75">
      <c r="A35" s="106" t="s">
        <v>66</v>
      </c>
      <c r="B35" s="106"/>
      <c r="C35" s="106"/>
      <c r="D35" s="115"/>
      <c r="E35" s="106"/>
      <c r="F35" s="116"/>
      <c r="G35" s="115">
        <f>G31+G24+G33</f>
        <v>0</v>
      </c>
      <c r="H35" s="115">
        <f>H31+H24+H33</f>
        <v>0</v>
      </c>
      <c r="I35" s="115">
        <f>I31+I24+I33</f>
        <v>146422.59</v>
      </c>
      <c r="J35" s="115">
        <f>J31+J24+J33</f>
        <v>0</v>
      </c>
      <c r="K35" s="99"/>
    </row>
    <row r="36" spans="1:11" ht="15">
      <c r="A36" s="99"/>
      <c r="B36" s="99"/>
      <c r="C36" s="99"/>
      <c r="D36" s="100"/>
      <c r="E36" s="99"/>
      <c r="F36" s="101"/>
      <c r="G36" s="99"/>
      <c r="H36" s="99"/>
      <c r="I36" s="99"/>
      <c r="J36" s="99"/>
      <c r="K36" s="99"/>
    </row>
    <row r="37" spans="1:11" ht="15">
      <c r="A37" s="99"/>
      <c r="B37" s="99"/>
      <c r="C37" s="99"/>
      <c r="D37" s="100"/>
      <c r="E37" s="99"/>
      <c r="F37" s="101"/>
      <c r="G37" s="99"/>
      <c r="H37" s="99"/>
      <c r="I37" s="99"/>
      <c r="J37" s="99"/>
      <c r="K37" s="99"/>
    </row>
    <row r="38" spans="1:11" ht="15.75">
      <c r="A38" s="106" t="s">
        <v>67</v>
      </c>
      <c r="B38" s="99"/>
      <c r="C38" s="99"/>
      <c r="D38" s="100"/>
      <c r="E38" s="99"/>
      <c r="F38" s="101"/>
      <c r="G38" s="99"/>
      <c r="H38" s="99"/>
      <c r="I38" s="99"/>
      <c r="J38" s="99"/>
      <c r="K38" s="99"/>
    </row>
    <row r="39" spans="1:11" ht="15.75">
      <c r="A39" s="106"/>
      <c r="B39" s="99"/>
      <c r="C39" s="99"/>
      <c r="D39" s="100"/>
      <c r="E39" s="99"/>
      <c r="F39" s="101"/>
      <c r="G39" s="99"/>
      <c r="H39" s="99"/>
      <c r="I39" s="99"/>
      <c r="J39" s="99"/>
      <c r="K39" s="99"/>
    </row>
    <row r="40" spans="1:11" ht="15">
      <c r="A40" s="99" t="s">
        <v>87</v>
      </c>
      <c r="B40" s="99"/>
      <c r="C40" s="99"/>
      <c r="D40" s="100"/>
      <c r="E40" s="99"/>
      <c r="F40" s="101"/>
      <c r="G40" s="99"/>
      <c r="H40" s="99"/>
      <c r="I40" s="99"/>
      <c r="J40" s="99"/>
      <c r="K40" s="99"/>
    </row>
    <row r="41" spans="1:11" ht="15">
      <c r="A41" s="99"/>
      <c r="B41" s="99"/>
      <c r="C41" s="99"/>
      <c r="D41" s="100"/>
      <c r="E41" s="99"/>
      <c r="F41" s="149" t="s">
        <v>52</v>
      </c>
      <c r="G41" s="148" t="s">
        <v>13</v>
      </c>
      <c r="H41" s="102"/>
      <c r="I41" s="102"/>
      <c r="J41" s="102"/>
      <c r="K41" s="99"/>
    </row>
    <row r="42" spans="1:11" ht="15">
      <c r="A42" s="146" t="s">
        <v>53</v>
      </c>
      <c r="B42" s="146" t="s">
        <v>116</v>
      </c>
      <c r="C42" s="146" t="s">
        <v>55</v>
      </c>
      <c r="D42" s="147" t="s">
        <v>56</v>
      </c>
      <c r="E42" s="148" t="s">
        <v>57</v>
      </c>
      <c r="F42" s="149" t="s">
        <v>58</v>
      </c>
      <c r="G42" s="148" t="s">
        <v>59</v>
      </c>
      <c r="H42" s="148" t="s">
        <v>48</v>
      </c>
      <c r="I42" s="148" t="s">
        <v>49</v>
      </c>
      <c r="J42" s="148" t="s">
        <v>25</v>
      </c>
      <c r="K42" s="99"/>
    </row>
    <row r="43" spans="1:11" s="158" customFormat="1" ht="15">
      <c r="A43" s="99"/>
      <c r="B43" s="99"/>
      <c r="C43" s="99"/>
      <c r="D43" s="108"/>
      <c r="E43" s="138">
        <f>D43*80</f>
        <v>0</v>
      </c>
      <c r="F43" s="107">
        <v>0</v>
      </c>
      <c r="G43" s="138">
        <f>E43*F43</f>
        <v>0</v>
      </c>
      <c r="H43" s="138">
        <f>F43*438</f>
        <v>0</v>
      </c>
      <c r="I43" s="138">
        <f>G43*0.3777</f>
        <v>0</v>
      </c>
      <c r="J43" s="139">
        <f>I43+H43+G43</f>
        <v>0</v>
      </c>
      <c r="K43" s="99"/>
    </row>
    <row r="44" spans="1:11" ht="15.75" thickBot="1">
      <c r="A44" s="99"/>
      <c r="B44" s="99" t="s">
        <v>25</v>
      </c>
      <c r="C44" s="99"/>
      <c r="D44" s="100"/>
      <c r="E44" s="99" t="s">
        <v>4</v>
      </c>
      <c r="F44" s="101" t="s">
        <v>4</v>
      </c>
      <c r="G44" s="159">
        <f>SUM(G43:G43)</f>
        <v>0</v>
      </c>
      <c r="H44" s="159">
        <f>SUM(H43:H43)</f>
        <v>0</v>
      </c>
      <c r="I44" s="159">
        <f>SUM(I43:I43)</f>
        <v>0</v>
      </c>
      <c r="J44" s="159">
        <f>SUM(J43:J43)</f>
        <v>0</v>
      </c>
      <c r="K44" s="99"/>
    </row>
    <row r="45" spans="1:11" ht="15.75" thickTop="1">
      <c r="A45" s="99"/>
      <c r="B45" s="99"/>
      <c r="C45" s="99"/>
      <c r="D45" s="100"/>
      <c r="E45" s="99"/>
      <c r="F45" s="101"/>
      <c r="G45" s="99"/>
      <c r="H45" s="99"/>
      <c r="I45" s="99"/>
      <c r="J45" s="99"/>
      <c r="K45" s="99"/>
    </row>
    <row r="46" spans="1:11" ht="15">
      <c r="A46" s="99" t="s">
        <v>68</v>
      </c>
      <c r="B46" s="99"/>
      <c r="C46" s="99"/>
      <c r="D46" s="100"/>
      <c r="E46" s="99"/>
      <c r="F46" s="101"/>
      <c r="G46" s="99"/>
      <c r="H46" s="99"/>
      <c r="I46" s="99"/>
      <c r="J46" s="99"/>
      <c r="K46" s="99"/>
    </row>
    <row r="47" spans="1:11" ht="15">
      <c r="A47" s="99" t="s">
        <v>69</v>
      </c>
      <c r="B47" s="99"/>
      <c r="C47" s="100">
        <v>0</v>
      </c>
      <c r="D47" s="100" t="s">
        <v>118</v>
      </c>
      <c r="E47" s="99"/>
      <c r="F47" s="101"/>
      <c r="G47" s="113">
        <v>0</v>
      </c>
      <c r="H47" s="113">
        <v>0</v>
      </c>
      <c r="I47" s="100">
        <f>+C47*0.18*16.2</f>
        <v>0</v>
      </c>
      <c r="J47" s="113">
        <v>0</v>
      </c>
      <c r="K47" s="99"/>
    </row>
    <row r="48" spans="1:11" ht="15">
      <c r="A48" s="99"/>
      <c r="B48" s="99"/>
      <c r="C48" s="99"/>
      <c r="D48" s="100"/>
      <c r="E48" s="99"/>
      <c r="F48" s="101"/>
      <c r="G48" s="99"/>
      <c r="H48" s="99"/>
      <c r="I48" s="99"/>
      <c r="J48" s="99"/>
      <c r="K48" s="99"/>
    </row>
    <row r="49" spans="1:11" ht="15">
      <c r="A49" s="99" t="s">
        <v>70</v>
      </c>
      <c r="B49" s="99"/>
      <c r="C49" s="99"/>
      <c r="D49" s="100"/>
      <c r="E49" s="99"/>
      <c r="F49" s="101"/>
      <c r="G49" s="113">
        <v>0</v>
      </c>
      <c r="H49" s="113">
        <v>0</v>
      </c>
      <c r="I49" s="113">
        <v>0</v>
      </c>
      <c r="J49" s="113">
        <v>0</v>
      </c>
      <c r="K49" s="99"/>
    </row>
    <row r="50" spans="1:11" ht="15">
      <c r="A50" s="99" t="s">
        <v>71</v>
      </c>
      <c r="B50" s="99"/>
      <c r="C50" s="99"/>
      <c r="D50" s="100"/>
      <c r="E50" s="99"/>
      <c r="F50" s="101"/>
      <c r="G50" s="99"/>
      <c r="H50" s="99"/>
      <c r="I50" s="99"/>
      <c r="J50" s="99"/>
      <c r="K50" s="99"/>
    </row>
    <row r="51" spans="1:11" ht="15">
      <c r="A51" s="99"/>
      <c r="B51" s="99"/>
      <c r="C51" s="99"/>
      <c r="D51" s="100"/>
      <c r="E51" s="99"/>
      <c r="F51" s="101"/>
      <c r="G51" s="99"/>
      <c r="H51" s="99"/>
      <c r="I51" s="99"/>
      <c r="J51" s="99"/>
      <c r="K51" s="99"/>
    </row>
    <row r="52" spans="1:11" ht="15">
      <c r="A52" s="99" t="s">
        <v>86</v>
      </c>
      <c r="B52" s="99"/>
      <c r="C52" s="99"/>
      <c r="D52" s="100"/>
      <c r="E52" s="99"/>
      <c r="F52" s="101"/>
      <c r="G52" s="113">
        <v>0</v>
      </c>
      <c r="H52" s="113">
        <v>0</v>
      </c>
      <c r="I52" s="113">
        <v>0</v>
      </c>
      <c r="J52" s="100">
        <f>SUM(G52:I52)</f>
        <v>0</v>
      </c>
      <c r="K52" s="99"/>
    </row>
    <row r="53" spans="1:11" ht="15">
      <c r="A53" s="99"/>
      <c r="B53" s="99"/>
      <c r="C53" s="99"/>
      <c r="D53" s="100"/>
      <c r="E53" s="99"/>
      <c r="F53" s="101"/>
      <c r="G53" s="99"/>
      <c r="H53" s="99"/>
      <c r="I53" s="99"/>
      <c r="J53" s="99"/>
      <c r="K53" s="99"/>
    </row>
    <row r="54" spans="1:11" ht="15">
      <c r="A54" s="99" t="s">
        <v>65</v>
      </c>
      <c r="B54" s="99"/>
      <c r="C54" s="99"/>
      <c r="D54" s="100"/>
      <c r="E54" s="99"/>
      <c r="F54" s="101"/>
      <c r="G54" s="100">
        <v>0</v>
      </c>
      <c r="H54" s="100">
        <v>0</v>
      </c>
      <c r="I54" s="100">
        <v>0</v>
      </c>
      <c r="J54" s="100">
        <v>0</v>
      </c>
      <c r="K54" s="99"/>
    </row>
    <row r="55" spans="1:11" ht="15">
      <c r="A55" s="99"/>
      <c r="B55" s="99"/>
      <c r="C55" s="99"/>
      <c r="D55" s="100"/>
      <c r="E55" s="99"/>
      <c r="F55" s="101"/>
      <c r="G55" s="99"/>
      <c r="H55" s="99"/>
      <c r="I55" s="99"/>
      <c r="J55" s="99"/>
      <c r="K55" s="99"/>
    </row>
    <row r="56" spans="1:11" ht="15.75">
      <c r="A56" s="106" t="s">
        <v>72</v>
      </c>
      <c r="B56" s="99"/>
      <c r="C56" s="99"/>
      <c r="D56" s="99"/>
      <c r="E56" s="99"/>
      <c r="F56" s="99" t="s">
        <v>4</v>
      </c>
      <c r="G56" s="115">
        <f>SUM(G44:G54)</f>
        <v>0</v>
      </c>
      <c r="H56" s="115">
        <f>SUM(H44:H54)</f>
        <v>0</v>
      </c>
      <c r="I56" s="115">
        <f>SUM(I44:I54)</f>
        <v>0</v>
      </c>
      <c r="J56" s="103">
        <f>SUM(G56:I56)</f>
        <v>0</v>
      </c>
      <c r="K56" s="99"/>
    </row>
    <row r="57" spans="1:11" ht="1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1:11" ht="1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1:11" ht="15.75">
      <c r="A59" s="106" t="s">
        <v>73</v>
      </c>
      <c r="B59" s="99"/>
      <c r="C59" s="99"/>
      <c r="D59" s="99"/>
      <c r="E59" s="99"/>
      <c r="F59" s="99"/>
      <c r="G59" s="115">
        <f>G35-G56</f>
        <v>0</v>
      </c>
      <c r="H59" s="115">
        <f>H35-H56</f>
        <v>0</v>
      </c>
      <c r="I59" s="115">
        <f>I35-I56</f>
        <v>146422.59</v>
      </c>
      <c r="J59" s="115">
        <f>I59+H59+G59</f>
        <v>146422.59</v>
      </c>
      <c r="K59" s="99"/>
    </row>
    <row r="60" spans="1:11" ht="1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1:11" ht="16.5" thickBot="1">
      <c r="A61" s="106" t="s">
        <v>74</v>
      </c>
      <c r="B61" s="99"/>
      <c r="C61" s="99"/>
      <c r="D61" s="99"/>
      <c r="E61" s="99"/>
      <c r="F61" s="99"/>
      <c r="G61" s="117">
        <f>G12+G59</f>
        <v>1737579</v>
      </c>
      <c r="H61" s="117">
        <f>H12+H59</f>
        <v>362231</v>
      </c>
      <c r="I61" s="117">
        <f>I12+I59</f>
        <v>780071.59</v>
      </c>
      <c r="J61" s="117">
        <f>I61+H61+G61</f>
        <v>2879881.59</v>
      </c>
      <c r="K61" s="99"/>
    </row>
    <row r="62" spans="1:11" ht="15.75" thickTop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1:11" ht="15">
      <c r="A63" s="99"/>
      <c r="B63" s="99"/>
      <c r="C63" s="99"/>
      <c r="D63" s="99"/>
      <c r="E63" s="99"/>
      <c r="F63" s="99"/>
      <c r="G63" s="113"/>
      <c r="H63" s="113"/>
      <c r="I63" s="113"/>
      <c r="J63" s="104"/>
      <c r="K63" s="99"/>
    </row>
    <row r="64" spans="1:11" ht="1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</row>
    <row r="65" spans="1:11" ht="15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</row>
    <row r="66" spans="1:11" ht="1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</row>
  </sheetData>
  <printOptions horizontalCentered="1"/>
  <pageMargins left="0.5" right="0.5" top="0.75" bottom="0.75" header="0.5" footer="0.5"/>
  <pageSetup fitToHeight="1" fitToWidth="1" horizontalDpi="600" verticalDpi="600" orientation="portrait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204"/>
  <sheetViews>
    <sheetView zoomScale="67" zoomScaleNormal="67" workbookViewId="0" topLeftCell="A1">
      <selection activeCell="A1" sqref="A1"/>
    </sheetView>
  </sheetViews>
  <sheetFormatPr defaultColWidth="9.77734375" defaultRowHeight="15"/>
  <cols>
    <col min="1" max="1" width="5.77734375" style="168" customWidth="1"/>
    <col min="2" max="2" width="38.3359375" style="168" customWidth="1"/>
    <col min="3" max="3" width="10.77734375" style="171" customWidth="1"/>
    <col min="4" max="4" width="11.77734375" style="171" customWidth="1"/>
    <col min="5" max="5" width="12.77734375" style="171" customWidth="1"/>
    <col min="6" max="6" width="11.77734375" style="171" customWidth="1"/>
    <col min="7" max="7" width="13.21484375" style="171" bestFit="1" customWidth="1"/>
    <col min="8" max="8" width="11.77734375" style="171" customWidth="1"/>
    <col min="9" max="9" width="12.77734375" style="171" customWidth="1"/>
    <col min="10" max="16384" width="9.77734375" style="168" customWidth="1"/>
  </cols>
  <sheetData>
    <row r="1" spans="1:9" ht="15.75">
      <c r="A1" s="165" t="s">
        <v>254</v>
      </c>
      <c r="B1" s="166"/>
      <c r="C1" s="167"/>
      <c r="D1" s="167"/>
      <c r="E1" s="167"/>
      <c r="F1" s="167"/>
      <c r="G1" s="167"/>
      <c r="H1" s="167"/>
      <c r="I1" s="167"/>
    </row>
    <row r="2" spans="1:9" ht="15.75">
      <c r="A2" s="169" t="s">
        <v>276</v>
      </c>
      <c r="B2" s="166"/>
      <c r="C2" s="167"/>
      <c r="D2" s="167"/>
      <c r="E2" s="167"/>
      <c r="F2" s="167"/>
      <c r="G2" s="167"/>
      <c r="H2" s="167"/>
      <c r="I2" s="167"/>
    </row>
    <row r="3" spans="1:9" ht="15">
      <c r="A3" s="166"/>
      <c r="B3" s="166"/>
      <c r="C3" s="167"/>
      <c r="D3" s="167"/>
      <c r="E3" s="167"/>
      <c r="F3" s="167"/>
      <c r="G3" s="167"/>
      <c r="H3" s="167"/>
      <c r="I3" s="167"/>
    </row>
    <row r="5" spans="1:2" ht="15.75">
      <c r="A5" s="170">
        <v>9</v>
      </c>
      <c r="B5" s="170" t="s">
        <v>119</v>
      </c>
    </row>
    <row r="6" spans="1:2" ht="15.75">
      <c r="A6" s="170">
        <f>12-A5</f>
        <v>3</v>
      </c>
      <c r="B6" s="170" t="s">
        <v>120</v>
      </c>
    </row>
    <row r="7" spans="1:2" ht="15.75">
      <c r="A7" s="170">
        <f>13-A5</f>
        <v>4</v>
      </c>
      <c r="B7" s="170" t="s">
        <v>121</v>
      </c>
    </row>
    <row r="8" spans="1:9" ht="15.75">
      <c r="A8" s="172"/>
      <c r="B8" s="172"/>
      <c r="C8" s="173" t="s">
        <v>122</v>
      </c>
      <c r="D8" s="173" t="s">
        <v>122</v>
      </c>
      <c r="E8" s="174" t="s">
        <v>123</v>
      </c>
      <c r="F8" s="173" t="s">
        <v>124</v>
      </c>
      <c r="G8" s="175"/>
      <c r="H8" s="175" t="s">
        <v>125</v>
      </c>
      <c r="I8" s="175" t="s">
        <v>24</v>
      </c>
    </row>
    <row r="9" spans="1:9" ht="15.75">
      <c r="A9" s="172"/>
      <c r="B9" s="172"/>
      <c r="C9" s="173" t="s">
        <v>277</v>
      </c>
      <c r="D9" s="173" t="s">
        <v>25</v>
      </c>
      <c r="E9" s="173" t="str">
        <f>+C9</f>
        <v>Oct-June</v>
      </c>
      <c r="F9" s="173" t="s">
        <v>23</v>
      </c>
      <c r="G9" s="175" t="s">
        <v>126</v>
      </c>
      <c r="H9" s="175" t="s">
        <v>23</v>
      </c>
      <c r="I9" s="175"/>
    </row>
    <row r="11" spans="1:9" s="176" customFormat="1" ht="15.75">
      <c r="A11" s="176" t="s">
        <v>127</v>
      </c>
      <c r="C11" s="177"/>
      <c r="D11" s="177"/>
      <c r="E11" s="177"/>
      <c r="F11" s="177"/>
      <c r="G11" s="177"/>
      <c r="H11" s="177"/>
      <c r="I11" s="177"/>
    </row>
    <row r="12" spans="3:9" s="176" customFormat="1" ht="15.75">
      <c r="C12" s="177"/>
      <c r="D12" s="177"/>
      <c r="E12" s="177"/>
      <c r="F12" s="177"/>
      <c r="G12" s="177"/>
      <c r="H12" s="177"/>
      <c r="I12" s="177"/>
    </row>
    <row r="13" spans="1:9" s="176" customFormat="1" ht="15.75">
      <c r="A13" s="178">
        <v>3250</v>
      </c>
      <c r="B13" s="178" t="s">
        <v>128</v>
      </c>
      <c r="C13" s="179">
        <v>0</v>
      </c>
      <c r="D13" s="180">
        <v>988</v>
      </c>
      <c r="E13" s="179">
        <v>2988.55</v>
      </c>
      <c r="F13" s="180">
        <f aca="true" t="shared" si="0" ref="F13:F18">E13/$A$5*$A$7</f>
        <v>1328.2444444444445</v>
      </c>
      <c r="G13" s="180">
        <v>-1328</v>
      </c>
      <c r="H13" s="180">
        <f aca="true" t="shared" si="1" ref="H13:H18">SUM(E13:G13)</f>
        <v>2988.7944444444447</v>
      </c>
      <c r="I13" s="177"/>
    </row>
    <row r="14" spans="1:9" s="176" customFormat="1" ht="15.75">
      <c r="A14" s="178">
        <v>3255</v>
      </c>
      <c r="B14" s="178" t="s">
        <v>129</v>
      </c>
      <c r="C14" s="179">
        <v>441.12</v>
      </c>
      <c r="D14" s="180">
        <v>441.12</v>
      </c>
      <c r="E14" s="179">
        <v>0</v>
      </c>
      <c r="F14" s="180">
        <f t="shared" si="0"/>
        <v>0</v>
      </c>
      <c r="G14" s="180">
        <v>0</v>
      </c>
      <c r="H14" s="180">
        <f t="shared" si="1"/>
        <v>0</v>
      </c>
      <c r="I14" s="177"/>
    </row>
    <row r="15" spans="1:9" s="176" customFormat="1" ht="15.75">
      <c r="A15" s="178">
        <v>3290</v>
      </c>
      <c r="B15" s="178" t="s">
        <v>130</v>
      </c>
      <c r="C15" s="179">
        <v>32816.06</v>
      </c>
      <c r="D15" s="180">
        <v>39386.17</v>
      </c>
      <c r="E15" s="179">
        <v>-181651.67</v>
      </c>
      <c r="F15" s="180">
        <f t="shared" si="0"/>
        <v>-80734.07555555557</v>
      </c>
      <c r="G15" s="180">
        <v>80734</v>
      </c>
      <c r="H15" s="180">
        <f t="shared" si="1"/>
        <v>-181651.74555555556</v>
      </c>
      <c r="I15" s="177"/>
    </row>
    <row r="16" spans="1:9" s="176" customFormat="1" ht="15.75">
      <c r="A16" s="178">
        <v>3310</v>
      </c>
      <c r="B16" s="178" t="s">
        <v>131</v>
      </c>
      <c r="C16" s="179">
        <v>0</v>
      </c>
      <c r="D16" s="180">
        <v>29510</v>
      </c>
      <c r="E16" s="179">
        <v>155254.11</v>
      </c>
      <c r="F16" s="180">
        <f t="shared" si="0"/>
        <v>69001.82666666666</v>
      </c>
      <c r="G16" s="180">
        <v>-69002</v>
      </c>
      <c r="H16" s="180">
        <f t="shared" si="1"/>
        <v>155253.93666666665</v>
      </c>
      <c r="I16" s="177"/>
    </row>
    <row r="17" spans="1:9" s="176" customFormat="1" ht="15.75">
      <c r="A17" s="178">
        <v>3330</v>
      </c>
      <c r="B17" s="178" t="s">
        <v>132</v>
      </c>
      <c r="C17" s="179">
        <v>0</v>
      </c>
      <c r="D17" s="180">
        <v>1100</v>
      </c>
      <c r="E17" s="179">
        <v>26474.2</v>
      </c>
      <c r="F17" s="180">
        <f t="shared" si="0"/>
        <v>11766.311111111112</v>
      </c>
      <c r="G17" s="180">
        <v>-11766</v>
      </c>
      <c r="H17" s="180">
        <f t="shared" si="1"/>
        <v>26474.51111111111</v>
      </c>
      <c r="I17" s="177"/>
    </row>
    <row r="18" spans="1:10" s="176" customFormat="1" ht="15.75">
      <c r="A18" s="178">
        <v>5200</v>
      </c>
      <c r="B18" s="178" t="s">
        <v>255</v>
      </c>
      <c r="C18" s="179">
        <v>0</v>
      </c>
      <c r="D18" s="180">
        <v>0</v>
      </c>
      <c r="E18" s="179">
        <v>24647.55</v>
      </c>
      <c r="F18" s="180">
        <f t="shared" si="0"/>
        <v>10954.466666666667</v>
      </c>
      <c r="G18" s="180">
        <v>8764</v>
      </c>
      <c r="H18" s="180">
        <f t="shared" si="1"/>
        <v>44366.01666666666</v>
      </c>
      <c r="I18" s="177"/>
      <c r="J18" s="176" t="s">
        <v>260</v>
      </c>
    </row>
    <row r="19" spans="3:9" ht="15">
      <c r="C19" s="181"/>
      <c r="D19" s="182"/>
      <c r="E19" s="181"/>
      <c r="F19" s="180"/>
      <c r="G19" s="180"/>
      <c r="H19" s="180"/>
      <c r="I19" s="180"/>
    </row>
    <row r="20" spans="3:9" ht="15">
      <c r="C20" s="164">
        <f aca="true" t="shared" si="2" ref="C20:I20">SUM(C13:C19)</f>
        <v>33257.18</v>
      </c>
      <c r="D20" s="164">
        <f t="shared" si="2"/>
        <v>71425.29000000001</v>
      </c>
      <c r="E20" s="164">
        <f t="shared" si="2"/>
        <v>27712.73999999996</v>
      </c>
      <c r="F20" s="164">
        <f t="shared" si="2"/>
        <v>12316.773333333314</v>
      </c>
      <c r="G20" s="164">
        <f t="shared" si="2"/>
        <v>7402</v>
      </c>
      <c r="H20" s="164">
        <f t="shared" si="2"/>
        <v>47431.5133333333</v>
      </c>
      <c r="I20" s="164">
        <f t="shared" si="2"/>
        <v>0</v>
      </c>
    </row>
    <row r="22" spans="1:9" ht="15.75">
      <c r="A22" s="170" t="s">
        <v>133</v>
      </c>
      <c r="B22" s="172"/>
      <c r="C22" s="180"/>
      <c r="D22" s="180"/>
      <c r="E22" s="180"/>
      <c r="F22" s="180"/>
      <c r="G22" s="180"/>
      <c r="H22" s="180"/>
      <c r="I22" s="180"/>
    </row>
    <row r="23" spans="1:9" ht="15.75">
      <c r="A23" s="170"/>
      <c r="B23" s="172"/>
      <c r="C23" s="180"/>
      <c r="D23" s="180"/>
      <c r="E23" s="180"/>
      <c r="F23" s="180"/>
      <c r="G23" s="180"/>
      <c r="H23" s="180"/>
      <c r="I23" s="180"/>
    </row>
    <row r="24" spans="1:9" ht="15">
      <c r="A24" s="191" t="s">
        <v>200</v>
      </c>
      <c r="B24" s="190" t="s">
        <v>201</v>
      </c>
      <c r="C24" s="179">
        <v>43247.77</v>
      </c>
      <c r="D24" s="180">
        <v>55310.47</v>
      </c>
      <c r="E24" s="179">
        <v>31925.33</v>
      </c>
      <c r="F24" s="180">
        <f aca="true" t="shared" si="3" ref="F24:F43">E24/$A$5*$A$7</f>
        <v>14189.035555555556</v>
      </c>
      <c r="G24" s="180">
        <v>-2127</v>
      </c>
      <c r="H24" s="180">
        <f>SUM(E24:G24)</f>
        <v>43987.36555555556</v>
      </c>
      <c r="I24" s="180"/>
    </row>
    <row r="25" spans="1:9" ht="15">
      <c r="A25" s="172">
        <v>4805</v>
      </c>
      <c r="B25" s="172" t="s">
        <v>134</v>
      </c>
      <c r="C25" s="179">
        <v>137881.12</v>
      </c>
      <c r="D25" s="180">
        <v>213378.42</v>
      </c>
      <c r="E25" s="179">
        <v>147777</v>
      </c>
      <c r="F25" s="180">
        <f t="shared" si="3"/>
        <v>65678.66666666667</v>
      </c>
      <c r="G25" s="180">
        <v>9838</v>
      </c>
      <c r="H25" s="180">
        <f aca="true" t="shared" si="4" ref="H25:H42">SUM(E25:G25)</f>
        <v>223293.6666666667</v>
      </c>
      <c r="I25" s="180"/>
    </row>
    <row r="26" spans="1:9" ht="15">
      <c r="A26" s="172">
        <v>4806</v>
      </c>
      <c r="B26" s="172" t="s">
        <v>135</v>
      </c>
      <c r="C26" s="179">
        <v>2590.59</v>
      </c>
      <c r="D26" s="180">
        <v>5303.68</v>
      </c>
      <c r="E26" s="179">
        <v>4222.86</v>
      </c>
      <c r="F26" s="180">
        <f t="shared" si="3"/>
        <v>1876.8266666666666</v>
      </c>
      <c r="G26" s="180">
        <v>836</v>
      </c>
      <c r="H26" s="180">
        <f t="shared" si="4"/>
        <v>6935.6866666666665</v>
      </c>
      <c r="I26" s="180"/>
    </row>
    <row r="27" spans="1:9" ht="15">
      <c r="A27" s="172">
        <v>4810</v>
      </c>
      <c r="B27" s="172" t="s">
        <v>136</v>
      </c>
      <c r="C27" s="179">
        <v>15816.25</v>
      </c>
      <c r="D27" s="180">
        <v>19201.78</v>
      </c>
      <c r="E27" s="179">
        <v>0</v>
      </c>
      <c r="F27" s="180">
        <f t="shared" si="3"/>
        <v>0</v>
      </c>
      <c r="G27" s="180">
        <v>3386</v>
      </c>
      <c r="H27" s="180">
        <f t="shared" si="4"/>
        <v>3386</v>
      </c>
      <c r="I27" s="180"/>
    </row>
    <row r="28" spans="1:9" ht="15">
      <c r="A28" s="172">
        <v>4815</v>
      </c>
      <c r="B28" s="172" t="s">
        <v>137</v>
      </c>
      <c r="C28" s="179">
        <v>10019.58</v>
      </c>
      <c r="D28" s="180">
        <v>13856.26</v>
      </c>
      <c r="E28" s="179">
        <v>0</v>
      </c>
      <c r="F28" s="180">
        <f t="shared" si="3"/>
        <v>0</v>
      </c>
      <c r="G28" s="180">
        <v>3836</v>
      </c>
      <c r="H28" s="180">
        <f t="shared" si="4"/>
        <v>3836</v>
      </c>
      <c r="I28" s="180"/>
    </row>
    <row r="29" spans="1:9" ht="15">
      <c r="A29" s="172">
        <v>4835</v>
      </c>
      <c r="B29" s="190" t="s">
        <v>251</v>
      </c>
      <c r="C29" s="179">
        <v>34.1</v>
      </c>
      <c r="D29" s="180">
        <v>34.1</v>
      </c>
      <c r="E29" s="179">
        <v>0</v>
      </c>
      <c r="F29" s="180">
        <f t="shared" si="3"/>
        <v>0</v>
      </c>
      <c r="G29" s="180">
        <v>0</v>
      </c>
      <c r="H29" s="180">
        <f>SUM(E29:G29)</f>
        <v>0</v>
      </c>
      <c r="I29" s="180"/>
    </row>
    <row r="30" spans="1:9" ht="15">
      <c r="A30" s="172">
        <v>4840</v>
      </c>
      <c r="B30" s="172" t="s">
        <v>138</v>
      </c>
      <c r="C30" s="179">
        <v>3147.2</v>
      </c>
      <c r="D30" s="180">
        <v>3679.49</v>
      </c>
      <c r="E30" s="179">
        <v>0</v>
      </c>
      <c r="F30" s="180">
        <f t="shared" si="3"/>
        <v>0</v>
      </c>
      <c r="G30" s="180">
        <v>532</v>
      </c>
      <c r="H30" s="180">
        <f t="shared" si="4"/>
        <v>532</v>
      </c>
      <c r="I30" s="180"/>
    </row>
    <row r="31" spans="1:9" ht="15">
      <c r="A31" s="172">
        <v>4845</v>
      </c>
      <c r="B31" s="172" t="s">
        <v>139</v>
      </c>
      <c r="C31" s="179">
        <v>5579.84</v>
      </c>
      <c r="D31" s="180">
        <v>7856.38</v>
      </c>
      <c r="E31" s="179">
        <v>0</v>
      </c>
      <c r="F31" s="180">
        <f t="shared" si="3"/>
        <v>0</v>
      </c>
      <c r="G31" s="180">
        <v>2276</v>
      </c>
      <c r="H31" s="180">
        <f t="shared" si="4"/>
        <v>2276</v>
      </c>
      <c r="I31" s="180"/>
    </row>
    <row r="32" spans="1:9" ht="15">
      <c r="A32" s="172">
        <v>4850</v>
      </c>
      <c r="B32" s="172" t="s">
        <v>140</v>
      </c>
      <c r="C32" s="179">
        <v>12373.66</v>
      </c>
      <c r="D32" s="180">
        <v>15050.67</v>
      </c>
      <c r="E32" s="179">
        <v>0</v>
      </c>
      <c r="F32" s="180">
        <f t="shared" si="3"/>
        <v>0</v>
      </c>
      <c r="G32" s="180">
        <v>2677</v>
      </c>
      <c r="H32" s="180">
        <f t="shared" si="4"/>
        <v>2677</v>
      </c>
      <c r="I32" s="180"/>
    </row>
    <row r="33" spans="1:9" ht="15">
      <c r="A33" s="172">
        <v>4855</v>
      </c>
      <c r="B33" s="172" t="s">
        <v>141</v>
      </c>
      <c r="C33" s="179">
        <v>2674.83</v>
      </c>
      <c r="D33" s="180">
        <v>3770.21</v>
      </c>
      <c r="E33" s="179">
        <v>0</v>
      </c>
      <c r="F33" s="180">
        <f t="shared" si="3"/>
        <v>0</v>
      </c>
      <c r="G33" s="180">
        <v>1095</v>
      </c>
      <c r="H33" s="180">
        <f t="shared" si="4"/>
        <v>1095</v>
      </c>
      <c r="I33" s="180"/>
    </row>
    <row r="34" spans="1:9" ht="15">
      <c r="A34" s="172">
        <v>4881</v>
      </c>
      <c r="B34" s="172" t="s">
        <v>142</v>
      </c>
      <c r="C34" s="179">
        <v>0</v>
      </c>
      <c r="D34" s="180">
        <v>2422.64</v>
      </c>
      <c r="E34" s="179">
        <v>4004.39</v>
      </c>
      <c r="F34" s="180">
        <f t="shared" si="3"/>
        <v>1779.7288888888888</v>
      </c>
      <c r="G34" s="180">
        <v>643</v>
      </c>
      <c r="H34" s="180">
        <f t="shared" si="4"/>
        <v>6427.118888888888</v>
      </c>
      <c r="I34" s="180"/>
    </row>
    <row r="35" spans="1:9" ht="15">
      <c r="A35" s="172">
        <v>4882</v>
      </c>
      <c r="B35" s="172" t="s">
        <v>143</v>
      </c>
      <c r="C35" s="179">
        <v>0</v>
      </c>
      <c r="D35" s="180">
        <v>11076.35</v>
      </c>
      <c r="E35" s="179">
        <v>30031.84</v>
      </c>
      <c r="F35" s="180">
        <f t="shared" si="3"/>
        <v>13347.484444444444</v>
      </c>
      <c r="G35" s="180">
        <v>-2271</v>
      </c>
      <c r="H35" s="180">
        <f t="shared" si="4"/>
        <v>41108.32444444444</v>
      </c>
      <c r="I35" s="180"/>
    </row>
    <row r="36" spans="1:9" ht="15">
      <c r="A36" s="172">
        <v>6171</v>
      </c>
      <c r="B36" s="190" t="s">
        <v>202</v>
      </c>
      <c r="C36" s="179">
        <v>5994.23</v>
      </c>
      <c r="D36" s="180">
        <v>8637.1</v>
      </c>
      <c r="E36" s="179">
        <v>4276.76</v>
      </c>
      <c r="F36" s="180">
        <f t="shared" si="3"/>
        <v>1900.7822222222223</v>
      </c>
      <c r="G36" s="180">
        <v>742</v>
      </c>
      <c r="H36" s="180">
        <f>SUM(E36:G36)</f>
        <v>6919.542222222222</v>
      </c>
      <c r="I36" s="180"/>
    </row>
    <row r="37" spans="1:9" ht="15">
      <c r="A37" s="172">
        <v>4865</v>
      </c>
      <c r="B37" s="172" t="s">
        <v>144</v>
      </c>
      <c r="C37" s="179">
        <v>24.2</v>
      </c>
      <c r="D37" s="180">
        <v>24.2</v>
      </c>
      <c r="E37" s="179">
        <v>0</v>
      </c>
      <c r="F37" s="180">
        <f t="shared" si="3"/>
        <v>0</v>
      </c>
      <c r="G37" s="180">
        <v>0</v>
      </c>
      <c r="H37" s="180">
        <f t="shared" si="4"/>
        <v>0</v>
      </c>
      <c r="I37" s="180"/>
    </row>
    <row r="38" spans="1:9" ht="15">
      <c r="A38" s="172">
        <v>4885</v>
      </c>
      <c r="B38" s="172" t="s">
        <v>145</v>
      </c>
      <c r="C38" s="179">
        <v>1735.4</v>
      </c>
      <c r="D38" s="180">
        <v>1735.4</v>
      </c>
      <c r="E38" s="179">
        <v>4314.9</v>
      </c>
      <c r="F38" s="180">
        <f t="shared" si="3"/>
        <v>1917.7333333333331</v>
      </c>
      <c r="G38" s="180">
        <v>-1918</v>
      </c>
      <c r="H38" s="180">
        <f t="shared" si="4"/>
        <v>4314.633333333333</v>
      </c>
      <c r="I38" s="180"/>
    </row>
    <row r="39" spans="1:9" ht="15">
      <c r="A39" s="172">
        <v>4892</v>
      </c>
      <c r="B39" s="190" t="s">
        <v>259</v>
      </c>
      <c r="C39" s="179">
        <v>0</v>
      </c>
      <c r="D39" s="180">
        <v>0</v>
      </c>
      <c r="E39" s="179">
        <v>2290.39</v>
      </c>
      <c r="F39" s="180">
        <f t="shared" si="3"/>
        <v>1017.951111111111</v>
      </c>
      <c r="G39" s="180">
        <v>-1018</v>
      </c>
      <c r="H39" s="180">
        <f>SUM(E39:G39)</f>
        <v>2290.341111111111</v>
      </c>
      <c r="I39" s="180"/>
    </row>
    <row r="40" spans="1:9" ht="15">
      <c r="A40" s="172">
        <v>4895</v>
      </c>
      <c r="B40" s="172" t="s">
        <v>146</v>
      </c>
      <c r="C40" s="179">
        <v>316.76</v>
      </c>
      <c r="D40" s="180">
        <v>316.76</v>
      </c>
      <c r="E40" s="179">
        <v>0</v>
      </c>
      <c r="F40" s="180">
        <f t="shared" si="3"/>
        <v>0</v>
      </c>
      <c r="G40" s="180">
        <v>0</v>
      </c>
      <c r="H40" s="180">
        <f t="shared" si="4"/>
        <v>0</v>
      </c>
      <c r="I40" s="180"/>
    </row>
    <row r="41" spans="1:9" ht="15">
      <c r="A41" s="172">
        <v>4910</v>
      </c>
      <c r="B41" s="172" t="s">
        <v>147</v>
      </c>
      <c r="C41" s="179">
        <v>2332.2</v>
      </c>
      <c r="D41" s="180">
        <v>2332.5</v>
      </c>
      <c r="E41" s="179">
        <v>0</v>
      </c>
      <c r="F41" s="180">
        <f t="shared" si="3"/>
        <v>0</v>
      </c>
      <c r="G41" s="180">
        <v>0</v>
      </c>
      <c r="H41" s="180">
        <f t="shared" si="4"/>
        <v>0</v>
      </c>
      <c r="I41" s="180"/>
    </row>
    <row r="42" spans="1:9" ht="15">
      <c r="A42" s="172">
        <v>4915</v>
      </c>
      <c r="B42" s="172" t="s">
        <v>148</v>
      </c>
      <c r="C42" s="179">
        <v>364.5</v>
      </c>
      <c r="D42" s="180">
        <v>364.5</v>
      </c>
      <c r="E42" s="179">
        <v>0</v>
      </c>
      <c r="F42" s="180">
        <f t="shared" si="3"/>
        <v>0</v>
      </c>
      <c r="G42" s="180">
        <v>0</v>
      </c>
      <c r="H42" s="180">
        <f t="shared" si="4"/>
        <v>0</v>
      </c>
      <c r="I42" s="180"/>
    </row>
    <row r="43" spans="1:9" ht="15">
      <c r="A43" s="172">
        <v>6176</v>
      </c>
      <c r="B43" s="190" t="s">
        <v>199</v>
      </c>
      <c r="C43" s="179">
        <v>6200.75</v>
      </c>
      <c r="D43" s="180">
        <v>5744.36</v>
      </c>
      <c r="E43" s="179">
        <v>437.7</v>
      </c>
      <c r="F43" s="180">
        <f t="shared" si="3"/>
        <v>194.53333333333333</v>
      </c>
      <c r="G43" s="180">
        <v>-195</v>
      </c>
      <c r="H43" s="180">
        <f>SUM(E43:G43)</f>
        <v>437.23333333333335</v>
      </c>
      <c r="I43" s="180">
        <v>2769.22</v>
      </c>
    </row>
    <row r="44" spans="1:9" ht="15">
      <c r="A44" s="172"/>
      <c r="B44" s="172"/>
      <c r="C44" s="183"/>
      <c r="D44" s="183"/>
      <c r="E44" s="183"/>
      <c r="F44" s="183"/>
      <c r="G44" s="183"/>
      <c r="H44" s="183"/>
      <c r="I44" s="194"/>
    </row>
    <row r="45" spans="1:9" ht="15">
      <c r="A45" s="172"/>
      <c r="B45" s="172"/>
      <c r="C45" s="183">
        <f>SUM(C24:C44)</f>
        <v>250332.98</v>
      </c>
      <c r="D45" s="183">
        <f aca="true" t="shared" si="5" ref="D45:I45">SUM(D24:D44)</f>
        <v>370095.26999999996</v>
      </c>
      <c r="E45" s="183">
        <f t="shared" si="5"/>
        <v>229281.17000000004</v>
      </c>
      <c r="F45" s="183">
        <f t="shared" si="5"/>
        <v>101902.74222222222</v>
      </c>
      <c r="G45" s="183">
        <f t="shared" si="5"/>
        <v>18332</v>
      </c>
      <c r="H45" s="183">
        <f t="shared" si="5"/>
        <v>349515.91222222225</v>
      </c>
      <c r="I45" s="183">
        <f t="shared" si="5"/>
        <v>2769.22</v>
      </c>
    </row>
    <row r="46" spans="1:9" ht="15">
      <c r="A46" s="172"/>
      <c r="B46" s="172"/>
      <c r="C46" s="185"/>
      <c r="D46" s="185"/>
      <c r="E46" s="185"/>
      <c r="F46" s="185"/>
      <c r="G46" s="185"/>
      <c r="H46" s="185"/>
      <c r="I46" s="185"/>
    </row>
    <row r="47" ht="15.75">
      <c r="A47" s="170" t="s">
        <v>149</v>
      </c>
    </row>
    <row r="49" spans="1:9" ht="15">
      <c r="A49" s="172">
        <v>401</v>
      </c>
      <c r="B49" s="172" t="s">
        <v>150</v>
      </c>
      <c r="C49" s="179">
        <v>19197.94</v>
      </c>
      <c r="D49" s="180">
        <v>28851.47</v>
      </c>
      <c r="E49" s="179">
        <v>18953.23</v>
      </c>
      <c r="F49" s="180">
        <f>E49/$A$5*$A$7</f>
        <v>8423.657777777778</v>
      </c>
      <c r="G49" s="180">
        <v>1229</v>
      </c>
      <c r="H49" s="180">
        <f>SUM(E49:G49)</f>
        <v>28605.887777777778</v>
      </c>
      <c r="I49" s="180"/>
    </row>
    <row r="50" spans="1:9" ht="15">
      <c r="A50" s="172">
        <v>404</v>
      </c>
      <c r="B50" s="172" t="s">
        <v>151</v>
      </c>
      <c r="C50" s="179">
        <v>1376.41</v>
      </c>
      <c r="D50" s="180">
        <v>2521.08</v>
      </c>
      <c r="E50" s="179">
        <v>2979.44</v>
      </c>
      <c r="F50" s="180">
        <f>E50/$A$5*$A$7</f>
        <v>1324.1955555555555</v>
      </c>
      <c r="G50" s="180">
        <v>-180</v>
      </c>
      <c r="H50" s="180">
        <f>SUM(E50:G50)</f>
        <v>4123.635555555556</v>
      </c>
      <c r="I50" s="180"/>
    </row>
    <row r="51" spans="1:9" ht="15">
      <c r="A51" s="172">
        <v>408</v>
      </c>
      <c r="B51" s="172" t="s">
        <v>152</v>
      </c>
      <c r="C51" s="179">
        <v>12760.39</v>
      </c>
      <c r="D51" s="180">
        <v>19527.54</v>
      </c>
      <c r="E51" s="179">
        <v>14630.79</v>
      </c>
      <c r="F51" s="180">
        <f>E51/$A$5*$A$7</f>
        <v>6502.573333333334</v>
      </c>
      <c r="G51" s="180">
        <v>266</v>
      </c>
      <c r="H51" s="180">
        <f>SUM(E51:G51)</f>
        <v>21399.363333333335</v>
      </c>
      <c r="I51" s="180"/>
    </row>
    <row r="52" spans="1:9" ht="15">
      <c r="A52" s="172">
        <v>6116</v>
      </c>
      <c r="B52" s="172" t="s">
        <v>153</v>
      </c>
      <c r="C52" s="179">
        <v>55751.56</v>
      </c>
      <c r="D52" s="180">
        <v>76002.04</v>
      </c>
      <c r="E52" s="179">
        <v>53418.57</v>
      </c>
      <c r="F52" s="180">
        <f>E52/$A$5*$A$7</f>
        <v>23741.586666666666</v>
      </c>
      <c r="G52" s="180">
        <v>-3491</v>
      </c>
      <c r="H52" s="180">
        <f>SUM(E52:G52)</f>
        <v>73669.15666666666</v>
      </c>
      <c r="I52" s="180"/>
    </row>
    <row r="53" spans="1:9" ht="15">
      <c r="A53" s="172">
        <v>6117</v>
      </c>
      <c r="B53" s="172" t="s">
        <v>154</v>
      </c>
      <c r="C53" s="179">
        <v>2229.1</v>
      </c>
      <c r="D53" s="180">
        <v>4027.21</v>
      </c>
      <c r="E53" s="179">
        <v>2194.65</v>
      </c>
      <c r="F53" s="180">
        <f>E53/$A$5*$A$7</f>
        <v>975.4000000000001</v>
      </c>
      <c r="G53" s="180">
        <v>823</v>
      </c>
      <c r="H53" s="180">
        <f>SUM(E53:G53)</f>
        <v>3993.05</v>
      </c>
      <c r="I53" s="180"/>
    </row>
    <row r="54" spans="1:9" ht="15">
      <c r="A54" s="172"/>
      <c r="B54" s="172"/>
      <c r="C54" s="183"/>
      <c r="D54" s="183"/>
      <c r="E54" s="183"/>
      <c r="F54" s="183"/>
      <c r="G54" s="183"/>
      <c r="H54" s="183"/>
      <c r="I54" s="180"/>
    </row>
    <row r="55" spans="1:9" ht="15">
      <c r="A55" s="172"/>
      <c r="B55" s="172"/>
      <c r="C55" s="183">
        <f aca="true" t="shared" si="6" ref="C55:I55">SUM(C49:C54)</f>
        <v>91315.4</v>
      </c>
      <c r="D55" s="183">
        <f t="shared" si="6"/>
        <v>130929.34000000001</v>
      </c>
      <c r="E55" s="183">
        <f t="shared" si="6"/>
        <v>92176.68</v>
      </c>
      <c r="F55" s="183">
        <f t="shared" si="6"/>
        <v>40967.41333333334</v>
      </c>
      <c r="G55" s="183">
        <f t="shared" si="6"/>
        <v>-1353</v>
      </c>
      <c r="H55" s="183">
        <f t="shared" si="6"/>
        <v>131791.09333333332</v>
      </c>
      <c r="I55" s="184">
        <f t="shared" si="6"/>
        <v>0</v>
      </c>
    </row>
    <row r="56" spans="1:9" ht="15">
      <c r="A56" s="172"/>
      <c r="B56" s="172"/>
      <c r="C56" s="185"/>
      <c r="D56" s="185"/>
      <c r="E56" s="185"/>
      <c r="F56" s="185"/>
      <c r="G56" s="185"/>
      <c r="H56" s="185"/>
      <c r="I56" s="185"/>
    </row>
    <row r="57" spans="1:9" s="176" customFormat="1" ht="15.75">
      <c r="A57" s="170" t="s">
        <v>155</v>
      </c>
      <c r="B57" s="170"/>
      <c r="C57" s="186"/>
      <c r="D57" s="186"/>
      <c r="E57" s="186"/>
      <c r="F57" s="186"/>
      <c r="G57" s="186"/>
      <c r="H57" s="186"/>
      <c r="I57" s="186"/>
    </row>
    <row r="58" spans="1:9" ht="15">
      <c r="A58" s="172"/>
      <c r="B58" s="172"/>
      <c r="C58" s="185"/>
      <c r="D58" s="185"/>
      <c r="E58" s="185"/>
      <c r="F58" s="185"/>
      <c r="G58" s="185"/>
      <c r="H58" s="185"/>
      <c r="I58" s="185"/>
    </row>
    <row r="59" spans="1:9" ht="15">
      <c r="A59" s="172">
        <v>601</v>
      </c>
      <c r="B59" s="172" t="s">
        <v>156</v>
      </c>
      <c r="C59" s="179">
        <v>39420.68</v>
      </c>
      <c r="D59" s="180">
        <v>64184.79</v>
      </c>
      <c r="E59" s="179">
        <v>33272.67</v>
      </c>
      <c r="F59" s="180">
        <f>E59/$A$5*$A$7</f>
        <v>14787.853333333333</v>
      </c>
      <c r="G59" s="180">
        <v>9976</v>
      </c>
      <c r="H59" s="180">
        <f>SUM(E59:G59)</f>
        <v>58036.52333333333</v>
      </c>
      <c r="I59" s="180"/>
    </row>
    <row r="60" spans="1:9" ht="15">
      <c r="A60" s="172">
        <v>602</v>
      </c>
      <c r="B60" s="190" t="s">
        <v>203</v>
      </c>
      <c r="C60" s="179">
        <v>41430.7</v>
      </c>
      <c r="D60" s="180">
        <v>42205.47</v>
      </c>
      <c r="E60" s="179">
        <v>29403.86</v>
      </c>
      <c r="F60" s="180">
        <f>E60/$A$5*$A$7</f>
        <v>13068.382222222222</v>
      </c>
      <c r="G60" s="180">
        <v>-12294</v>
      </c>
      <c r="H60" s="180">
        <f>SUM(E60:G60)</f>
        <v>30178.242222222223</v>
      </c>
      <c r="I60" s="180"/>
    </row>
    <row r="61" spans="1:9" ht="15">
      <c r="A61" s="172">
        <v>603</v>
      </c>
      <c r="B61" s="190" t="s">
        <v>204</v>
      </c>
      <c r="C61" s="179">
        <v>1367.62</v>
      </c>
      <c r="D61" s="180">
        <v>2056.46</v>
      </c>
      <c r="E61" s="179">
        <v>407.54</v>
      </c>
      <c r="F61" s="180">
        <f>E61/$A$5*$A$7</f>
        <v>181.1288888888889</v>
      </c>
      <c r="G61" s="180">
        <v>507</v>
      </c>
      <c r="H61" s="180">
        <f>SUM(E61:G61)</f>
        <v>1095.668888888889</v>
      </c>
      <c r="I61" s="180"/>
    </row>
    <row r="62" spans="1:9" ht="15">
      <c r="A62" s="172"/>
      <c r="B62" s="172"/>
      <c r="C62" s="185"/>
      <c r="D62" s="185"/>
      <c r="E62" s="185"/>
      <c r="F62" s="185"/>
      <c r="G62" s="185"/>
      <c r="H62" s="185"/>
      <c r="I62" s="185"/>
    </row>
    <row r="63" spans="1:9" ht="15">
      <c r="A63" s="172"/>
      <c r="B63" s="172"/>
      <c r="C63" s="192">
        <f>SUM(C59:C62)</f>
        <v>82219</v>
      </c>
      <c r="D63" s="192">
        <f aca="true" t="shared" si="7" ref="D63:I63">SUM(D59:D62)</f>
        <v>108446.72000000002</v>
      </c>
      <c r="E63" s="192">
        <f t="shared" si="7"/>
        <v>63084.07</v>
      </c>
      <c r="F63" s="192">
        <f t="shared" si="7"/>
        <v>28037.364444444444</v>
      </c>
      <c r="G63" s="192">
        <f t="shared" si="7"/>
        <v>-1811</v>
      </c>
      <c r="H63" s="192">
        <f t="shared" si="7"/>
        <v>89310.43444444444</v>
      </c>
      <c r="I63" s="192">
        <f t="shared" si="7"/>
        <v>0</v>
      </c>
    </row>
    <row r="64" spans="1:9" ht="15">
      <c r="A64" s="172"/>
      <c r="B64" s="172"/>
      <c r="C64" s="185"/>
      <c r="D64" s="185"/>
      <c r="E64" s="185"/>
      <c r="F64" s="185"/>
      <c r="G64" s="185"/>
      <c r="H64" s="185"/>
      <c r="I64" s="185"/>
    </row>
    <row r="65" spans="1:9" ht="15.75">
      <c r="A65" s="170" t="s">
        <v>157</v>
      </c>
      <c r="B65" s="172"/>
      <c r="C65" s="180"/>
      <c r="D65" s="180"/>
      <c r="E65" s="180"/>
      <c r="F65" s="180"/>
      <c r="G65" s="180"/>
      <c r="H65" s="180"/>
      <c r="I65" s="180"/>
    </row>
    <row r="66" spans="1:9" ht="15">
      <c r="A66" s="172"/>
      <c r="B66" s="172"/>
      <c r="C66" s="180"/>
      <c r="D66" s="180"/>
      <c r="E66" s="180"/>
      <c r="F66" s="180"/>
      <c r="G66" s="180"/>
      <c r="H66" s="180"/>
      <c r="I66" s="180"/>
    </row>
    <row r="67" spans="1:9" ht="15">
      <c r="A67" s="172">
        <v>700</v>
      </c>
      <c r="B67" s="172" t="s">
        <v>158</v>
      </c>
      <c r="C67" s="179">
        <v>108.45</v>
      </c>
      <c r="D67" s="180">
        <v>614.55</v>
      </c>
      <c r="E67" s="179">
        <v>397.65</v>
      </c>
      <c r="F67" s="180">
        <f aca="true" t="shared" si="8" ref="F67:F90">E67/$A$5*$A$6</f>
        <v>132.54999999999998</v>
      </c>
      <c r="G67" s="180">
        <v>375</v>
      </c>
      <c r="H67" s="180">
        <f aca="true" t="shared" si="9" ref="H67:H90">SUM(E67:G67)</f>
        <v>905.1999999999999</v>
      </c>
      <c r="I67" s="180"/>
    </row>
    <row r="68" spans="1:9" ht="15">
      <c r="A68" s="172">
        <v>701</v>
      </c>
      <c r="B68" s="190" t="s">
        <v>247</v>
      </c>
      <c r="C68" s="179">
        <v>3274.2</v>
      </c>
      <c r="D68" s="180">
        <v>3979.7</v>
      </c>
      <c r="E68" s="179">
        <v>0</v>
      </c>
      <c r="F68" s="180">
        <f t="shared" si="8"/>
        <v>0</v>
      </c>
      <c r="G68" s="180">
        <v>706</v>
      </c>
      <c r="H68" s="180">
        <f>SUM(E68:G68)</f>
        <v>706</v>
      </c>
      <c r="I68" s="180"/>
    </row>
    <row r="69" spans="1:9" ht="15">
      <c r="A69" s="172">
        <v>702</v>
      </c>
      <c r="B69" s="172" t="s">
        <v>159</v>
      </c>
      <c r="C69" s="179">
        <v>598098.94</v>
      </c>
      <c r="D69" s="180">
        <v>691716.22</v>
      </c>
      <c r="E69" s="179">
        <v>353502.31</v>
      </c>
      <c r="F69" s="180">
        <f t="shared" si="8"/>
        <v>117834.10333333333</v>
      </c>
      <c r="G69" s="180">
        <v>-109000</v>
      </c>
      <c r="H69" s="180">
        <f t="shared" si="9"/>
        <v>362336.41333333333</v>
      </c>
      <c r="I69" s="180">
        <v>209545.37</v>
      </c>
    </row>
    <row r="70" spans="1:9" ht="15">
      <c r="A70" s="172">
        <v>703</v>
      </c>
      <c r="B70" s="190" t="s">
        <v>205</v>
      </c>
      <c r="C70" s="179">
        <v>1788.36</v>
      </c>
      <c r="D70" s="180">
        <v>2633.6</v>
      </c>
      <c r="E70" s="179">
        <v>636.1</v>
      </c>
      <c r="F70" s="180">
        <f t="shared" si="8"/>
        <v>212.03333333333333</v>
      </c>
      <c r="G70" s="180">
        <v>-212</v>
      </c>
      <c r="H70" s="180">
        <f>SUM(E70:G70)</f>
        <v>636.1333333333333</v>
      </c>
      <c r="I70" s="180">
        <v>1863.89</v>
      </c>
    </row>
    <row r="71" spans="1:10" ht="15">
      <c r="A71" s="172">
        <v>704</v>
      </c>
      <c r="B71" s="172" t="s">
        <v>160</v>
      </c>
      <c r="C71" s="179">
        <v>1394.6</v>
      </c>
      <c r="D71" s="180">
        <v>8471.15</v>
      </c>
      <c r="E71" s="179">
        <v>20449.22</v>
      </c>
      <c r="F71" s="180">
        <f t="shared" si="8"/>
        <v>6816.406666666667</v>
      </c>
      <c r="G71" s="180">
        <v>-6816</v>
      </c>
      <c r="H71" s="180">
        <f t="shared" si="9"/>
        <v>20449.626666666667</v>
      </c>
      <c r="I71" s="180">
        <v>7610.4</v>
      </c>
      <c r="J71" s="199"/>
    </row>
    <row r="72" spans="1:9" ht="15">
      <c r="A72" s="172">
        <v>714</v>
      </c>
      <c r="B72" s="172" t="s">
        <v>161</v>
      </c>
      <c r="C72" s="179">
        <v>27946.68</v>
      </c>
      <c r="D72" s="180">
        <v>52947.77</v>
      </c>
      <c r="E72" s="179">
        <v>226012.42</v>
      </c>
      <c r="F72" s="180">
        <f t="shared" si="8"/>
        <v>75337.47333333334</v>
      </c>
      <c r="G72" s="180">
        <v>-50337</v>
      </c>
      <c r="H72" s="180">
        <f t="shared" si="9"/>
        <v>251012.89333333337</v>
      </c>
      <c r="I72" s="180"/>
    </row>
    <row r="73" spans="1:9" ht="15">
      <c r="A73" s="172">
        <v>716</v>
      </c>
      <c r="B73" s="190" t="s">
        <v>248</v>
      </c>
      <c r="C73" s="179">
        <v>180</v>
      </c>
      <c r="D73" s="180">
        <v>180</v>
      </c>
      <c r="E73" s="179">
        <v>360</v>
      </c>
      <c r="F73" s="180">
        <f t="shared" si="8"/>
        <v>120</v>
      </c>
      <c r="G73" s="180">
        <v>-120</v>
      </c>
      <c r="H73" s="180">
        <f>SUM(E73:G73)</f>
        <v>360</v>
      </c>
      <c r="I73" s="180"/>
    </row>
    <row r="74" spans="1:9" ht="15">
      <c r="A74" s="172">
        <v>717</v>
      </c>
      <c r="B74" s="190" t="s">
        <v>206</v>
      </c>
      <c r="C74" s="179">
        <v>3944</v>
      </c>
      <c r="D74" s="180">
        <v>4950.25</v>
      </c>
      <c r="E74" s="179">
        <v>9562.7</v>
      </c>
      <c r="F74" s="180">
        <f t="shared" si="8"/>
        <v>3187.566666666667</v>
      </c>
      <c r="G74" s="180">
        <v>-2181</v>
      </c>
      <c r="H74" s="180">
        <f>SUM(E74:G74)</f>
        <v>10569.266666666668</v>
      </c>
      <c r="I74" s="180"/>
    </row>
    <row r="75" spans="1:9" ht="15">
      <c r="A75" s="172">
        <v>719</v>
      </c>
      <c r="B75" s="172" t="s">
        <v>162</v>
      </c>
      <c r="C75" s="179">
        <v>15292.98</v>
      </c>
      <c r="D75" s="180">
        <v>17143.98</v>
      </c>
      <c r="E75" s="179">
        <v>11111.64</v>
      </c>
      <c r="F75" s="180">
        <f t="shared" si="8"/>
        <v>3703.8799999999997</v>
      </c>
      <c r="G75" s="180">
        <v>-1853</v>
      </c>
      <c r="H75" s="180">
        <f t="shared" si="9"/>
        <v>12962.519999999999</v>
      </c>
      <c r="I75" s="180"/>
    </row>
    <row r="76" spans="1:9" ht="15">
      <c r="A76" s="172">
        <v>720</v>
      </c>
      <c r="B76" s="190" t="s">
        <v>256</v>
      </c>
      <c r="C76" s="179">
        <v>0</v>
      </c>
      <c r="D76" s="180">
        <v>0</v>
      </c>
      <c r="E76" s="179">
        <v>850</v>
      </c>
      <c r="F76" s="180">
        <f t="shared" si="8"/>
        <v>283.3333333333333</v>
      </c>
      <c r="G76" s="180">
        <v>-283</v>
      </c>
      <c r="H76" s="180">
        <f t="shared" si="9"/>
        <v>850.3333333333333</v>
      </c>
      <c r="I76" s="180"/>
    </row>
    <row r="77" spans="1:9" ht="15">
      <c r="A77" s="172">
        <v>722</v>
      </c>
      <c r="B77" s="172" t="s">
        <v>163</v>
      </c>
      <c r="C77" s="179">
        <v>4623.52</v>
      </c>
      <c r="D77" s="180">
        <v>6252.1</v>
      </c>
      <c r="E77" s="179">
        <v>18895.73</v>
      </c>
      <c r="F77" s="180">
        <f t="shared" si="8"/>
        <v>6298.576666666666</v>
      </c>
      <c r="G77" s="180">
        <v>-4670</v>
      </c>
      <c r="H77" s="180">
        <f t="shared" si="9"/>
        <v>20524.306666666664</v>
      </c>
      <c r="I77" s="180"/>
    </row>
    <row r="78" spans="1:9" ht="15">
      <c r="A78" s="172">
        <v>901</v>
      </c>
      <c r="B78" s="172" t="s">
        <v>164</v>
      </c>
      <c r="C78" s="179">
        <v>15053.24</v>
      </c>
      <c r="D78" s="180">
        <v>24032.63</v>
      </c>
      <c r="E78" s="179">
        <v>14469.7</v>
      </c>
      <c r="F78" s="180">
        <f t="shared" si="8"/>
        <v>4823.233333333334</v>
      </c>
      <c r="G78" s="180">
        <v>4157</v>
      </c>
      <c r="H78" s="180">
        <f t="shared" si="9"/>
        <v>23449.933333333334</v>
      </c>
      <c r="I78" s="180"/>
    </row>
    <row r="79" spans="1:9" ht="15">
      <c r="A79" s="172">
        <v>904</v>
      </c>
      <c r="B79" s="172" t="s">
        <v>165</v>
      </c>
      <c r="C79" s="179">
        <v>582</v>
      </c>
      <c r="D79" s="180">
        <v>1224</v>
      </c>
      <c r="E79" s="179">
        <v>720</v>
      </c>
      <c r="F79" s="180">
        <f t="shared" si="8"/>
        <v>240</v>
      </c>
      <c r="G79" s="180">
        <v>402</v>
      </c>
      <c r="H79" s="180">
        <f t="shared" si="9"/>
        <v>1362</v>
      </c>
      <c r="I79" s="180"/>
    </row>
    <row r="80" spans="1:9" ht="15">
      <c r="A80" s="172">
        <v>905</v>
      </c>
      <c r="B80" s="172" t="s">
        <v>166</v>
      </c>
      <c r="C80" s="179">
        <v>0</v>
      </c>
      <c r="D80" s="180">
        <v>2060</v>
      </c>
      <c r="E80" s="179">
        <v>0</v>
      </c>
      <c r="F80" s="180">
        <f t="shared" si="8"/>
        <v>0</v>
      </c>
      <c r="G80" s="180">
        <v>2030</v>
      </c>
      <c r="H80" s="180">
        <f t="shared" si="9"/>
        <v>2030</v>
      </c>
      <c r="I80" s="180"/>
    </row>
    <row r="81" spans="1:9" ht="15">
      <c r="A81" s="172">
        <v>907</v>
      </c>
      <c r="B81" s="172" t="s">
        <v>167</v>
      </c>
      <c r="C81" s="179">
        <v>21076.32</v>
      </c>
      <c r="D81" s="180">
        <v>71379.53</v>
      </c>
      <c r="E81" s="179">
        <f>832944.24-708081.81</f>
        <v>124862.42999999993</v>
      </c>
      <c r="F81" s="180">
        <f t="shared" si="8"/>
        <v>41620.809999999976</v>
      </c>
      <c r="G81" s="180">
        <v>-35000</v>
      </c>
      <c r="H81" s="180">
        <f t="shared" si="9"/>
        <v>131483.2399999999</v>
      </c>
      <c r="I81" s="198">
        <f>2717705.1-41918.19</f>
        <v>2675786.91</v>
      </c>
    </row>
    <row r="82" spans="1:9" ht="15">
      <c r="A82" s="172">
        <v>908</v>
      </c>
      <c r="B82" s="190" t="s">
        <v>207</v>
      </c>
      <c r="C82" s="179">
        <v>25167.33</v>
      </c>
      <c r="D82" s="180">
        <v>40575.48</v>
      </c>
      <c r="E82" s="179">
        <v>25427.02</v>
      </c>
      <c r="F82" s="180">
        <f t="shared" si="8"/>
        <v>8475.673333333334</v>
      </c>
      <c r="G82" s="180">
        <v>302</v>
      </c>
      <c r="H82" s="180">
        <f>SUM(E82:G82)</f>
        <v>34204.693333333336</v>
      </c>
      <c r="I82" s="180">
        <v>6630</v>
      </c>
    </row>
    <row r="83" spans="1:9" ht="15">
      <c r="A83" s="172">
        <v>939</v>
      </c>
      <c r="B83" s="190" t="s">
        <v>208</v>
      </c>
      <c r="C83" s="179">
        <v>146053</v>
      </c>
      <c r="D83" s="180">
        <v>227570.93</v>
      </c>
      <c r="E83" s="179">
        <v>186767.3</v>
      </c>
      <c r="F83" s="180">
        <f t="shared" si="8"/>
        <v>62255.76666666666</v>
      </c>
      <c r="G83" s="180">
        <v>19262</v>
      </c>
      <c r="H83" s="180">
        <f>SUM(E83:G83)</f>
        <v>268285.06666666665</v>
      </c>
      <c r="I83" s="180"/>
    </row>
    <row r="84" spans="1:9" ht="15">
      <c r="A84" s="172">
        <v>950</v>
      </c>
      <c r="B84" s="190" t="s">
        <v>257</v>
      </c>
      <c r="C84" s="179">
        <v>0</v>
      </c>
      <c r="D84" s="180">
        <v>0</v>
      </c>
      <c r="E84" s="179">
        <v>2992.22</v>
      </c>
      <c r="F84" s="180">
        <f t="shared" si="8"/>
        <v>997.4066666666665</v>
      </c>
      <c r="G84" s="180">
        <v>-997</v>
      </c>
      <c r="H84" s="180">
        <f>SUM(E84:G84)</f>
        <v>2992.626666666666</v>
      </c>
      <c r="I84" s="180"/>
    </row>
    <row r="85" spans="1:9" ht="15">
      <c r="A85" s="172">
        <v>951</v>
      </c>
      <c r="B85" s="172" t="s">
        <v>168</v>
      </c>
      <c r="C85" s="179">
        <v>110</v>
      </c>
      <c r="D85" s="180">
        <v>710</v>
      </c>
      <c r="E85" s="179">
        <v>125</v>
      </c>
      <c r="F85" s="180">
        <f t="shared" si="8"/>
        <v>41.66666666666667</v>
      </c>
      <c r="G85" s="180">
        <v>558</v>
      </c>
      <c r="H85" s="180">
        <f t="shared" si="9"/>
        <v>724.6666666666667</v>
      </c>
      <c r="I85" s="180"/>
    </row>
    <row r="86" spans="1:9" ht="15">
      <c r="A86" s="172">
        <v>6118</v>
      </c>
      <c r="B86" s="172" t="s">
        <v>169</v>
      </c>
      <c r="C86" s="179">
        <v>5789.13</v>
      </c>
      <c r="D86" s="180">
        <v>11525.5</v>
      </c>
      <c r="E86" s="179">
        <v>6243.52</v>
      </c>
      <c r="F86" s="180">
        <f t="shared" si="8"/>
        <v>2081.1733333333336</v>
      </c>
      <c r="G86" s="180">
        <v>3656</v>
      </c>
      <c r="H86" s="180">
        <f t="shared" si="9"/>
        <v>11980.693333333335</v>
      </c>
      <c r="I86" s="180"/>
    </row>
    <row r="87" spans="1:9" ht="15">
      <c r="A87" s="172">
        <v>6146</v>
      </c>
      <c r="B87" s="172" t="s">
        <v>170</v>
      </c>
      <c r="C87" s="179">
        <v>229.3</v>
      </c>
      <c r="D87" s="180">
        <v>423.34</v>
      </c>
      <c r="E87" s="179">
        <v>281.1</v>
      </c>
      <c r="F87" s="180">
        <f t="shared" si="8"/>
        <v>93.7</v>
      </c>
      <c r="G87" s="180">
        <v>100</v>
      </c>
      <c r="H87" s="180">
        <f t="shared" si="9"/>
        <v>474.8</v>
      </c>
      <c r="I87" s="180"/>
    </row>
    <row r="88" spans="1:9" ht="15">
      <c r="A88" s="172">
        <v>6896</v>
      </c>
      <c r="B88" s="172" t="s">
        <v>171</v>
      </c>
      <c r="C88" s="179">
        <v>6643.2</v>
      </c>
      <c r="D88" s="180">
        <v>14375.33</v>
      </c>
      <c r="E88" s="179">
        <v>6886.83</v>
      </c>
      <c r="F88" s="180">
        <f t="shared" si="8"/>
        <v>2295.61</v>
      </c>
      <c r="G88" s="180">
        <v>5437</v>
      </c>
      <c r="H88" s="180">
        <f t="shared" si="9"/>
        <v>14619.44</v>
      </c>
      <c r="I88" s="180"/>
    </row>
    <row r="89" spans="1:9" ht="15">
      <c r="A89" s="172">
        <v>6897</v>
      </c>
      <c r="B89" s="172" t="s">
        <v>172</v>
      </c>
      <c r="C89" s="179">
        <v>1089393.21</v>
      </c>
      <c r="D89" s="180">
        <v>1185550.91</v>
      </c>
      <c r="E89" s="179">
        <v>805727.37</v>
      </c>
      <c r="F89" s="180">
        <f t="shared" si="8"/>
        <v>268575.79000000004</v>
      </c>
      <c r="G89" s="180">
        <v>-172418</v>
      </c>
      <c r="H89" s="180">
        <f t="shared" si="9"/>
        <v>901885.1600000001</v>
      </c>
      <c r="I89" s="180"/>
    </row>
    <row r="90" spans="1:9" ht="15">
      <c r="A90" s="172">
        <v>8140</v>
      </c>
      <c r="B90" s="172" t="s">
        <v>173</v>
      </c>
      <c r="C90" s="179">
        <v>15094.73</v>
      </c>
      <c r="D90" s="180">
        <v>59492.17</v>
      </c>
      <c r="E90" s="179">
        <v>36179.35</v>
      </c>
      <c r="F90" s="180">
        <f t="shared" si="8"/>
        <v>12059.783333333333</v>
      </c>
      <c r="G90" s="180">
        <v>32337</v>
      </c>
      <c r="H90" s="180">
        <f t="shared" si="9"/>
        <v>80576.13333333333</v>
      </c>
      <c r="I90" s="180"/>
    </row>
    <row r="91" spans="1:9" ht="15">
      <c r="A91" s="172"/>
      <c r="B91" s="172"/>
      <c r="C91" s="183"/>
      <c r="D91" s="183"/>
      <c r="E91" s="183"/>
      <c r="F91" s="183"/>
      <c r="G91" s="183"/>
      <c r="H91" s="183"/>
      <c r="I91" s="183"/>
    </row>
    <row r="92" spans="1:9" ht="15">
      <c r="A92" s="172"/>
      <c r="B92" s="172"/>
      <c r="C92" s="183">
        <f aca="true" t="shared" si="10" ref="C92:I92">SUM(C67:C91)</f>
        <v>1981843.19</v>
      </c>
      <c r="D92" s="183">
        <f t="shared" si="10"/>
        <v>2427809.1399999997</v>
      </c>
      <c r="E92" s="183">
        <f>SUM(E67:E91)</f>
        <v>1852459.6099999999</v>
      </c>
      <c r="F92" s="183">
        <f t="shared" si="10"/>
        <v>617486.5366666667</v>
      </c>
      <c r="G92" s="183">
        <f t="shared" si="10"/>
        <v>-314565</v>
      </c>
      <c r="H92" s="183">
        <f t="shared" si="10"/>
        <v>2155381.146666667</v>
      </c>
      <c r="I92" s="183">
        <f t="shared" si="10"/>
        <v>2901436.5700000003</v>
      </c>
    </row>
    <row r="93" spans="1:8" ht="15">
      <c r="A93" s="172"/>
      <c r="B93" s="172"/>
      <c r="C93" s="180"/>
      <c r="D93" s="180"/>
      <c r="E93" s="180"/>
      <c r="F93" s="180"/>
      <c r="G93" s="180"/>
      <c r="H93" s="180"/>
    </row>
    <row r="94" spans="1:8" ht="15.75">
      <c r="A94" s="170" t="s">
        <v>209</v>
      </c>
      <c r="B94" s="172"/>
      <c r="C94" s="180"/>
      <c r="D94" s="180"/>
      <c r="E94" s="180"/>
      <c r="F94" s="180"/>
      <c r="G94" s="180"/>
      <c r="H94" s="180"/>
    </row>
    <row r="95" spans="1:9" ht="15">
      <c r="A95" s="172"/>
      <c r="B95" s="172"/>
      <c r="C95" s="180"/>
      <c r="D95" s="180"/>
      <c r="E95" s="180"/>
      <c r="F95" s="180"/>
      <c r="G95" s="180"/>
      <c r="H95" s="180"/>
      <c r="I95" s="180"/>
    </row>
    <row r="96" spans="1:9" ht="15">
      <c r="A96" s="172">
        <v>801</v>
      </c>
      <c r="B96" s="190" t="s">
        <v>210</v>
      </c>
      <c r="C96" s="187">
        <v>2400</v>
      </c>
      <c r="D96" s="180">
        <v>2400</v>
      </c>
      <c r="E96" s="187">
        <v>0</v>
      </c>
      <c r="F96" s="180">
        <f>E96/$A$5*$A$7</f>
        <v>0</v>
      </c>
      <c r="G96" s="180">
        <v>0</v>
      </c>
      <c r="H96" s="180">
        <f>SUM(E96:G96)</f>
        <v>0</v>
      </c>
      <c r="I96" s="180"/>
    </row>
    <row r="97" spans="1:9" ht="15">
      <c r="A97" s="172"/>
      <c r="B97" s="172"/>
      <c r="C97" s="183"/>
      <c r="D97" s="183"/>
      <c r="E97" s="183"/>
      <c r="F97" s="183"/>
      <c r="G97" s="183"/>
      <c r="H97" s="183"/>
      <c r="I97" s="183"/>
    </row>
    <row r="98" spans="1:9" ht="15">
      <c r="A98" s="172"/>
      <c r="B98" s="172"/>
      <c r="C98" s="183">
        <f aca="true" t="shared" si="11" ref="C98:I98">SUM(C96:C97)</f>
        <v>2400</v>
      </c>
      <c r="D98" s="183">
        <f t="shared" si="11"/>
        <v>2400</v>
      </c>
      <c r="E98" s="183">
        <f t="shared" si="11"/>
        <v>0</v>
      </c>
      <c r="F98" s="183">
        <f t="shared" si="11"/>
        <v>0</v>
      </c>
      <c r="G98" s="183">
        <f t="shared" si="11"/>
        <v>0</v>
      </c>
      <c r="H98" s="183">
        <f t="shared" si="11"/>
        <v>0</v>
      </c>
      <c r="I98" s="183">
        <f t="shared" si="11"/>
        <v>0</v>
      </c>
    </row>
    <row r="99" spans="1:9" ht="15">
      <c r="A99" s="172"/>
      <c r="B99" s="172"/>
      <c r="C99" s="185"/>
      <c r="D99" s="185"/>
      <c r="E99" s="185"/>
      <c r="F99" s="185"/>
      <c r="G99" s="185"/>
      <c r="H99" s="185"/>
      <c r="I99" s="185"/>
    </row>
    <row r="100" spans="1:8" ht="15.75">
      <c r="A100" s="170" t="s">
        <v>174</v>
      </c>
      <c r="B100" s="172"/>
      <c r="C100" s="180"/>
      <c r="D100" s="180"/>
      <c r="E100" s="180"/>
      <c r="F100" s="180"/>
      <c r="G100" s="180"/>
      <c r="H100" s="180"/>
    </row>
    <row r="101" spans="1:9" ht="15">
      <c r="A101" s="172"/>
      <c r="B101" s="172"/>
      <c r="C101" s="180"/>
      <c r="D101" s="180"/>
      <c r="E101" s="180"/>
      <c r="F101" s="180"/>
      <c r="G101" s="180"/>
      <c r="H101" s="180"/>
      <c r="I101" s="180"/>
    </row>
    <row r="102" spans="1:9" ht="15">
      <c r="A102" s="172">
        <v>902</v>
      </c>
      <c r="B102" s="172" t="s">
        <v>175</v>
      </c>
      <c r="C102" s="187">
        <v>4218.76</v>
      </c>
      <c r="D102" s="180">
        <v>6718.76</v>
      </c>
      <c r="E102" s="187">
        <v>2910.69</v>
      </c>
      <c r="F102" s="180">
        <f aca="true" t="shared" si="12" ref="F102:F116">E102/$A$5*$A$7</f>
        <v>1293.64</v>
      </c>
      <c r="G102" s="180">
        <v>1207</v>
      </c>
      <c r="H102" s="180">
        <f aca="true" t="shared" si="13" ref="H102:H116">SUM(E102:G102)</f>
        <v>5411.33</v>
      </c>
      <c r="I102" s="180"/>
    </row>
    <row r="103" spans="1:9" ht="15">
      <c r="A103" s="172">
        <v>903</v>
      </c>
      <c r="B103" s="172" t="s">
        <v>176</v>
      </c>
      <c r="C103" s="187">
        <v>49.95</v>
      </c>
      <c r="D103" s="180">
        <v>12375.31</v>
      </c>
      <c r="E103" s="187">
        <v>11371.09</v>
      </c>
      <c r="F103" s="180">
        <f t="shared" si="12"/>
        <v>5053.817777777778</v>
      </c>
      <c r="G103" s="180">
        <v>7271</v>
      </c>
      <c r="H103" s="180">
        <f t="shared" si="13"/>
        <v>23695.90777777778</v>
      </c>
      <c r="I103" s="180"/>
    </row>
    <row r="104" spans="1:9" ht="15">
      <c r="A104" s="172">
        <v>906</v>
      </c>
      <c r="B104" s="172" t="s">
        <v>177</v>
      </c>
      <c r="C104" s="179">
        <v>13788.42</v>
      </c>
      <c r="D104" s="180">
        <v>17527.6</v>
      </c>
      <c r="E104" s="179">
        <v>13723.69</v>
      </c>
      <c r="F104" s="180">
        <f t="shared" si="12"/>
        <v>6099.417777777778</v>
      </c>
      <c r="G104" s="180">
        <v>-2359</v>
      </c>
      <c r="H104" s="180">
        <f t="shared" si="13"/>
        <v>17464.10777777778</v>
      </c>
      <c r="I104" s="180"/>
    </row>
    <row r="105" spans="1:9" ht="15">
      <c r="A105" s="172">
        <v>910</v>
      </c>
      <c r="B105" s="190" t="s">
        <v>269</v>
      </c>
      <c r="C105" s="179">
        <v>0</v>
      </c>
      <c r="D105" s="180">
        <v>0</v>
      </c>
      <c r="E105" s="179">
        <v>0</v>
      </c>
      <c r="F105" s="180">
        <f t="shared" si="12"/>
        <v>0</v>
      </c>
      <c r="G105" s="180">
        <v>0</v>
      </c>
      <c r="H105" s="180">
        <f>SUM(E105:G105)</f>
        <v>0</v>
      </c>
      <c r="I105" s="180"/>
    </row>
    <row r="106" spans="1:9" ht="15">
      <c r="A106" s="172">
        <v>911</v>
      </c>
      <c r="B106" s="190" t="s">
        <v>211</v>
      </c>
      <c r="C106" s="179">
        <v>9218.71</v>
      </c>
      <c r="D106" s="180">
        <v>19248.58</v>
      </c>
      <c r="E106" s="179">
        <v>1885.04</v>
      </c>
      <c r="F106" s="180">
        <f t="shared" si="12"/>
        <v>837.7955555555556</v>
      </c>
      <c r="G106" s="180">
        <v>9192</v>
      </c>
      <c r="H106" s="180">
        <f>SUM(E106:G106)</f>
        <v>11914.835555555555</v>
      </c>
      <c r="I106" s="180"/>
    </row>
    <row r="107" spans="1:9" ht="15">
      <c r="A107" s="172">
        <v>912</v>
      </c>
      <c r="B107" s="190" t="s">
        <v>212</v>
      </c>
      <c r="C107" s="179">
        <v>1136.1</v>
      </c>
      <c r="D107" s="180">
        <v>1696.27</v>
      </c>
      <c r="E107" s="179">
        <v>2653.24</v>
      </c>
      <c r="F107" s="180">
        <f t="shared" si="12"/>
        <v>1179.2177777777777</v>
      </c>
      <c r="G107" s="180">
        <v>-619</v>
      </c>
      <c r="H107" s="180">
        <f>SUM(E107:G107)</f>
        <v>3213.4577777777777</v>
      </c>
      <c r="I107" s="180"/>
    </row>
    <row r="108" spans="1:9" ht="15">
      <c r="A108" s="172">
        <v>917</v>
      </c>
      <c r="B108" s="172" t="s">
        <v>178</v>
      </c>
      <c r="C108" s="179">
        <v>8615.77</v>
      </c>
      <c r="D108" s="180">
        <v>9144.87</v>
      </c>
      <c r="E108" s="179">
        <v>6464.77</v>
      </c>
      <c r="F108" s="180">
        <f t="shared" si="12"/>
        <v>2873.231111111111</v>
      </c>
      <c r="G108" s="180">
        <v>-2344</v>
      </c>
      <c r="H108" s="180">
        <f t="shared" si="13"/>
        <v>6994.001111111113</v>
      </c>
      <c r="I108" s="180"/>
    </row>
    <row r="109" spans="1:9" ht="15">
      <c r="A109" s="172">
        <v>918</v>
      </c>
      <c r="B109" s="172" t="s">
        <v>179</v>
      </c>
      <c r="C109" s="179">
        <v>15740.11</v>
      </c>
      <c r="D109" s="180">
        <v>23308.08</v>
      </c>
      <c r="E109" s="179">
        <v>25236.6</v>
      </c>
      <c r="F109" s="180">
        <f t="shared" si="12"/>
        <v>11216.266666666666</v>
      </c>
      <c r="G109" s="180">
        <v>-3648</v>
      </c>
      <c r="H109" s="180">
        <f t="shared" si="13"/>
        <v>32804.86666666667</v>
      </c>
      <c r="I109" s="180"/>
    </row>
    <row r="110" spans="1:9" ht="15">
      <c r="A110" s="172">
        <v>919</v>
      </c>
      <c r="B110" s="172" t="s">
        <v>180</v>
      </c>
      <c r="C110" s="179">
        <v>254.63</v>
      </c>
      <c r="D110" s="180">
        <v>254.63</v>
      </c>
      <c r="E110" s="179">
        <v>147.41</v>
      </c>
      <c r="F110" s="180">
        <f t="shared" si="12"/>
        <v>65.51555555555555</v>
      </c>
      <c r="G110" s="180">
        <v>-66</v>
      </c>
      <c r="H110" s="180">
        <f t="shared" si="13"/>
        <v>146.92555555555555</v>
      </c>
      <c r="I110" s="180"/>
    </row>
    <row r="111" spans="1:9" ht="15">
      <c r="A111" s="172">
        <v>929</v>
      </c>
      <c r="B111" s="190" t="s">
        <v>213</v>
      </c>
      <c r="C111" s="179">
        <v>10088.11</v>
      </c>
      <c r="D111" s="180">
        <v>15970.88</v>
      </c>
      <c r="E111" s="179">
        <v>9405.8</v>
      </c>
      <c r="F111" s="180">
        <f t="shared" si="12"/>
        <v>4180.355555555555</v>
      </c>
      <c r="G111" s="180">
        <v>1703</v>
      </c>
      <c r="H111" s="180">
        <f>SUM(E111:G111)</f>
        <v>15289.155555555553</v>
      </c>
      <c r="I111" s="180"/>
    </row>
    <row r="112" spans="1:9" ht="15">
      <c r="A112" s="172">
        <v>930</v>
      </c>
      <c r="B112" s="172" t="s">
        <v>181</v>
      </c>
      <c r="C112" s="179">
        <v>7515.07</v>
      </c>
      <c r="D112" s="180">
        <v>22824.44</v>
      </c>
      <c r="E112" s="179">
        <v>23706.16</v>
      </c>
      <c r="F112" s="180">
        <f t="shared" si="12"/>
        <v>10536.07111111111</v>
      </c>
      <c r="G112" s="180">
        <v>4773</v>
      </c>
      <c r="H112" s="180">
        <f t="shared" si="13"/>
        <v>39015.23111111111</v>
      </c>
      <c r="I112" s="180"/>
    </row>
    <row r="113" spans="1:9" ht="15">
      <c r="A113" s="172">
        <v>935</v>
      </c>
      <c r="B113" s="190" t="s">
        <v>258</v>
      </c>
      <c r="C113" s="179">
        <v>0</v>
      </c>
      <c r="D113" s="180">
        <v>0</v>
      </c>
      <c r="E113" s="179">
        <v>1886.45</v>
      </c>
      <c r="F113" s="180">
        <f t="shared" si="12"/>
        <v>838.4222222222222</v>
      </c>
      <c r="G113" s="180">
        <v>-838</v>
      </c>
      <c r="H113" s="180">
        <f t="shared" si="13"/>
        <v>1886.8722222222223</v>
      </c>
      <c r="I113" s="180"/>
    </row>
    <row r="114" spans="1:9" ht="15">
      <c r="A114" s="172">
        <v>936</v>
      </c>
      <c r="B114" s="172" t="s">
        <v>182</v>
      </c>
      <c r="C114" s="179">
        <v>-46.6</v>
      </c>
      <c r="D114" s="180">
        <v>-277.4</v>
      </c>
      <c r="E114" s="179">
        <v>0</v>
      </c>
      <c r="F114" s="180">
        <f t="shared" si="12"/>
        <v>0</v>
      </c>
      <c r="G114" s="180">
        <v>-237</v>
      </c>
      <c r="H114" s="180">
        <f t="shared" si="13"/>
        <v>-237</v>
      </c>
      <c r="I114" s="180"/>
    </row>
    <row r="115" spans="1:9" ht="15">
      <c r="A115" s="172">
        <v>4715</v>
      </c>
      <c r="B115" s="190" t="s">
        <v>214</v>
      </c>
      <c r="C115" s="179">
        <v>-15335.47</v>
      </c>
      <c r="D115" s="180">
        <v>-35598.96</v>
      </c>
      <c r="E115" s="179">
        <v>-17468.37</v>
      </c>
      <c r="F115" s="180">
        <f t="shared" si="12"/>
        <v>-7763.719999999999</v>
      </c>
      <c r="G115" s="180">
        <v>-12500</v>
      </c>
      <c r="H115" s="180">
        <f>SUM(E115:G115)</f>
        <v>-37732.09</v>
      </c>
      <c r="I115" s="180"/>
    </row>
    <row r="116" spans="1:9" ht="15">
      <c r="A116" s="172">
        <v>6246</v>
      </c>
      <c r="B116" s="172" t="s">
        <v>183</v>
      </c>
      <c r="C116" s="179">
        <v>289495.8</v>
      </c>
      <c r="D116" s="180">
        <v>418607.23</v>
      </c>
      <c r="E116" s="179">
        <v>287413.02</v>
      </c>
      <c r="F116" s="180">
        <f t="shared" si="12"/>
        <v>127739.12000000001</v>
      </c>
      <c r="G116" s="180">
        <v>1372</v>
      </c>
      <c r="H116" s="180">
        <f t="shared" si="13"/>
        <v>416524.14</v>
      </c>
      <c r="I116" s="180"/>
    </row>
    <row r="117" spans="1:9" ht="15">
      <c r="A117" s="172"/>
      <c r="B117" s="172"/>
      <c r="C117" s="183"/>
      <c r="D117" s="183"/>
      <c r="E117" s="183"/>
      <c r="F117" s="183"/>
      <c r="G117" s="183"/>
      <c r="H117" s="183"/>
      <c r="I117" s="183"/>
    </row>
    <row r="118" spans="1:9" ht="15">
      <c r="A118" s="172"/>
      <c r="B118" s="172"/>
      <c r="C118" s="183">
        <f aca="true" t="shared" si="14" ref="C118:I118">SUM(C102:C117)</f>
        <v>344739.36</v>
      </c>
      <c r="D118" s="183">
        <f t="shared" si="14"/>
        <v>511800.29000000004</v>
      </c>
      <c r="E118" s="183">
        <f t="shared" si="14"/>
        <v>369335.59</v>
      </c>
      <c r="F118" s="183">
        <f t="shared" si="14"/>
        <v>164149.1511111111</v>
      </c>
      <c r="G118" s="183">
        <f t="shared" si="14"/>
        <v>2907</v>
      </c>
      <c r="H118" s="183">
        <f t="shared" si="14"/>
        <v>536391.7411111111</v>
      </c>
      <c r="I118" s="183">
        <f t="shared" si="14"/>
        <v>0</v>
      </c>
    </row>
    <row r="119" spans="1:9" ht="15">
      <c r="A119" s="172"/>
      <c r="B119" s="172"/>
      <c r="C119" s="180"/>
      <c r="D119" s="180"/>
      <c r="E119" s="180"/>
      <c r="F119" s="180"/>
      <c r="G119" s="180"/>
      <c r="H119" s="180"/>
      <c r="I119" s="180"/>
    </row>
    <row r="120" spans="1:9" ht="15.75">
      <c r="A120" s="170" t="s">
        <v>184</v>
      </c>
      <c r="B120" s="172"/>
      <c r="C120" s="180"/>
      <c r="D120" s="180"/>
      <c r="E120" s="180"/>
      <c r="F120" s="180"/>
      <c r="G120" s="180"/>
      <c r="H120" s="180"/>
      <c r="I120" s="180"/>
    </row>
    <row r="121" spans="1:9" ht="15">
      <c r="A121" s="172"/>
      <c r="B121" s="172"/>
      <c r="C121" s="180"/>
      <c r="D121" s="180"/>
      <c r="E121" s="180"/>
      <c r="F121" s="180"/>
      <c r="G121" s="180"/>
      <c r="H121" s="180"/>
      <c r="I121" s="180"/>
    </row>
    <row r="122" spans="1:9" ht="15">
      <c r="A122" s="172">
        <v>1101</v>
      </c>
      <c r="B122" s="190" t="s">
        <v>215</v>
      </c>
      <c r="C122" s="179">
        <v>35984</v>
      </c>
      <c r="D122" s="180">
        <v>118535.42</v>
      </c>
      <c r="E122" s="179">
        <v>110019.14</v>
      </c>
      <c r="F122" s="180">
        <f>E122/$A$5*$A$6</f>
        <v>36673.04666666667</v>
      </c>
      <c r="G122" s="180">
        <f>-30000+66055</f>
        <v>36055</v>
      </c>
      <c r="H122" s="180">
        <f>SUM(E122:G122)</f>
        <v>182747.18666666668</v>
      </c>
      <c r="I122" s="180">
        <v>188111.5</v>
      </c>
    </row>
    <row r="123" spans="1:9" ht="15">
      <c r="A123" s="172">
        <v>1102</v>
      </c>
      <c r="B123" s="172" t="s">
        <v>185</v>
      </c>
      <c r="C123" s="179">
        <v>122953.58</v>
      </c>
      <c r="D123" s="180">
        <v>274913.2</v>
      </c>
      <c r="E123" s="179">
        <v>271803.24</v>
      </c>
      <c r="F123" s="180">
        <f>E123/$A$5*$A$6</f>
        <v>90601.08</v>
      </c>
      <c r="G123" s="180">
        <v>-50000</v>
      </c>
      <c r="H123" s="180">
        <f>SUM(E123:G123)</f>
        <v>312404.32</v>
      </c>
      <c r="I123" s="180">
        <v>74454.7</v>
      </c>
    </row>
    <row r="124" spans="1:9" ht="15">
      <c r="A124" s="172">
        <v>1103</v>
      </c>
      <c r="B124" s="172" t="s">
        <v>186</v>
      </c>
      <c r="C124" s="179">
        <v>28532.5</v>
      </c>
      <c r="D124" s="180">
        <v>38557.24</v>
      </c>
      <c r="E124" s="179">
        <v>25799.7</v>
      </c>
      <c r="F124" s="180">
        <f>E124/$A$5*$A$6</f>
        <v>8599.9</v>
      </c>
      <c r="G124" s="180">
        <v>-8600</v>
      </c>
      <c r="H124" s="180">
        <f>SUM(E124:G124)</f>
        <v>25799.6</v>
      </c>
      <c r="I124" s="180">
        <v>46.5</v>
      </c>
    </row>
    <row r="125" spans="1:9" ht="15">
      <c r="A125" s="172">
        <v>1111</v>
      </c>
      <c r="B125" s="172" t="s">
        <v>187</v>
      </c>
      <c r="C125" s="179">
        <v>7004.95</v>
      </c>
      <c r="D125" s="180">
        <v>10469.66</v>
      </c>
      <c r="E125" s="179">
        <v>18862.62</v>
      </c>
      <c r="F125" s="180">
        <f>E125/$A$5*$A$6</f>
        <v>6287.539999999999</v>
      </c>
      <c r="G125" s="180">
        <v>-6288</v>
      </c>
      <c r="H125" s="180">
        <f>SUM(E125:G125)</f>
        <v>18862.159999999996</v>
      </c>
      <c r="I125" s="180">
        <v>7838.11</v>
      </c>
    </row>
    <row r="126" spans="1:9" ht="15">
      <c r="A126" s="172"/>
      <c r="B126" s="172"/>
      <c r="C126" s="181"/>
      <c r="D126" s="182"/>
      <c r="E126" s="181"/>
      <c r="F126" s="180"/>
      <c r="G126" s="194"/>
      <c r="H126" s="180"/>
      <c r="I126" s="180"/>
    </row>
    <row r="127" spans="1:9" ht="15">
      <c r="A127" s="172"/>
      <c r="B127" s="172"/>
      <c r="C127" s="164">
        <f>SUM(C122:C126)</f>
        <v>194475.03000000003</v>
      </c>
      <c r="D127" s="164">
        <f aca="true" t="shared" si="15" ref="D127:I127">SUM(D122:D126)</f>
        <v>442475.51999999996</v>
      </c>
      <c r="E127" s="164">
        <f t="shared" si="15"/>
        <v>426484.7</v>
      </c>
      <c r="F127" s="164">
        <f t="shared" si="15"/>
        <v>142161.56666666668</v>
      </c>
      <c r="G127" s="180">
        <f t="shared" si="15"/>
        <v>-28833</v>
      </c>
      <c r="H127" s="164">
        <f t="shared" si="15"/>
        <v>539813.2666666667</v>
      </c>
      <c r="I127" s="164">
        <f t="shared" si="15"/>
        <v>270450.81</v>
      </c>
    </row>
    <row r="128" spans="1:9" ht="15">
      <c r="A128" s="172"/>
      <c r="B128" s="172"/>
      <c r="C128" s="181"/>
      <c r="D128" s="182"/>
      <c r="E128" s="181"/>
      <c r="F128" s="180"/>
      <c r="G128" s="197"/>
      <c r="H128" s="180"/>
      <c r="I128" s="180"/>
    </row>
    <row r="129" spans="1:9" ht="15.75">
      <c r="A129" s="170" t="s">
        <v>188</v>
      </c>
      <c r="B129" s="172"/>
      <c r="C129" s="180"/>
      <c r="D129" s="180"/>
      <c r="E129" s="180"/>
      <c r="F129" s="180"/>
      <c r="G129" s="185"/>
      <c r="H129" s="180"/>
      <c r="I129" s="180"/>
    </row>
    <row r="130" spans="1:9" ht="15">
      <c r="A130" s="172"/>
      <c r="B130" s="172"/>
      <c r="C130" s="181"/>
      <c r="D130" s="182"/>
      <c r="E130" s="181"/>
      <c r="F130" s="180"/>
      <c r="G130" s="180"/>
      <c r="H130" s="180"/>
      <c r="I130" s="180"/>
    </row>
    <row r="131" spans="1:9" ht="15">
      <c r="A131" s="172">
        <v>6035</v>
      </c>
      <c r="B131" s="190" t="s">
        <v>216</v>
      </c>
      <c r="C131" s="179">
        <v>215</v>
      </c>
      <c r="D131" s="182">
        <v>719.85</v>
      </c>
      <c r="E131" s="179">
        <v>143.76</v>
      </c>
      <c r="F131" s="180">
        <f>E131/$A$5*$A$6</f>
        <v>47.92</v>
      </c>
      <c r="G131" s="180">
        <v>-48</v>
      </c>
      <c r="H131" s="180">
        <f>SUM(E131:G131)</f>
        <v>143.68</v>
      </c>
      <c r="I131" s="180"/>
    </row>
    <row r="132" spans="1:9" ht="15">
      <c r="A132" s="172">
        <v>6303</v>
      </c>
      <c r="B132" s="190" t="s">
        <v>249</v>
      </c>
      <c r="C132" s="179">
        <v>100610.25</v>
      </c>
      <c r="D132" s="182">
        <v>39600</v>
      </c>
      <c r="E132" s="179">
        <v>0</v>
      </c>
      <c r="F132" s="180">
        <f>E132/$A$5*$A$6</f>
        <v>0</v>
      </c>
      <c r="G132" s="180">
        <v>0</v>
      </c>
      <c r="H132" s="180">
        <f>SUM(E132:G132)</f>
        <v>0</v>
      </c>
      <c r="I132" s="180"/>
    </row>
    <row r="133" spans="1:9" ht="15">
      <c r="A133" s="172">
        <v>6325</v>
      </c>
      <c r="B133" s="172" t="s">
        <v>189</v>
      </c>
      <c r="C133" s="179">
        <v>0</v>
      </c>
      <c r="D133" s="182">
        <v>126219.76</v>
      </c>
      <c r="E133" s="179">
        <v>77583.01</v>
      </c>
      <c r="F133" s="180">
        <f>E133/$A$5*$A$6</f>
        <v>25861.003333333334</v>
      </c>
      <c r="G133" s="180">
        <v>-25861</v>
      </c>
      <c r="H133" s="180">
        <f>SUM(E133:G133)</f>
        <v>77583.01333333334</v>
      </c>
      <c r="I133" s="180">
        <v>45249</v>
      </c>
    </row>
    <row r="134" spans="1:9" ht="15">
      <c r="A134" s="172"/>
      <c r="B134" s="172"/>
      <c r="C134" s="181"/>
      <c r="D134" s="182"/>
      <c r="E134" s="181"/>
      <c r="F134" s="180"/>
      <c r="G134" s="180"/>
      <c r="H134" s="180"/>
      <c r="I134" s="180"/>
    </row>
    <row r="135" spans="1:9" ht="15">
      <c r="A135" s="172"/>
      <c r="B135" s="172"/>
      <c r="C135" s="164">
        <f>SUM(C131:C134)</f>
        <v>100825.25</v>
      </c>
      <c r="D135" s="164">
        <f aca="true" t="shared" si="16" ref="D135:I135">SUM(D131:D134)</f>
        <v>166539.61</v>
      </c>
      <c r="E135" s="164">
        <f t="shared" si="16"/>
        <v>77726.76999999999</v>
      </c>
      <c r="F135" s="164">
        <f t="shared" si="16"/>
        <v>25908.923333333332</v>
      </c>
      <c r="G135" s="164">
        <f t="shared" si="16"/>
        <v>-25909</v>
      </c>
      <c r="H135" s="164">
        <f t="shared" si="16"/>
        <v>77726.69333333333</v>
      </c>
      <c r="I135" s="164">
        <f t="shared" si="16"/>
        <v>45249</v>
      </c>
    </row>
    <row r="136" spans="1:9" ht="15">
      <c r="A136" s="172"/>
      <c r="B136" s="172"/>
      <c r="C136" s="181"/>
      <c r="D136" s="182"/>
      <c r="E136" s="181"/>
      <c r="F136" s="180"/>
      <c r="G136" s="180"/>
      <c r="H136" s="180"/>
      <c r="I136" s="180"/>
    </row>
    <row r="137" spans="1:9" ht="15.75">
      <c r="A137" s="170" t="s">
        <v>190</v>
      </c>
      <c r="B137" s="172"/>
      <c r="C137" s="180"/>
      <c r="D137" s="180"/>
      <c r="E137" s="180"/>
      <c r="F137" s="180"/>
      <c r="G137" s="180"/>
      <c r="H137" s="180"/>
      <c r="I137" s="180"/>
    </row>
    <row r="138" spans="1:9" ht="15">
      <c r="A138" s="172"/>
      <c r="B138" s="172"/>
      <c r="C138" s="180"/>
      <c r="D138" s="180"/>
      <c r="E138" s="180"/>
      <c r="F138" s="180"/>
      <c r="G138" s="180"/>
      <c r="H138" s="180"/>
      <c r="I138" s="180"/>
    </row>
    <row r="139" spans="1:9" ht="15">
      <c r="A139" s="172">
        <v>1316</v>
      </c>
      <c r="B139" s="190" t="s">
        <v>217</v>
      </c>
      <c r="C139" s="179">
        <v>16.12</v>
      </c>
      <c r="D139" s="180">
        <v>16.12</v>
      </c>
      <c r="E139" s="179">
        <v>0</v>
      </c>
      <c r="F139" s="180">
        <f>E139/$A$5*$A$6</f>
        <v>0</v>
      </c>
      <c r="G139" s="180">
        <v>0</v>
      </c>
      <c r="H139" s="180">
        <f>SUM(E139:G139)</f>
        <v>0</v>
      </c>
      <c r="I139" s="180"/>
    </row>
    <row r="140" spans="1:9" ht="15">
      <c r="A140" s="172"/>
      <c r="B140" s="172"/>
      <c r="C140" s="181"/>
      <c r="D140" s="182"/>
      <c r="E140" s="181"/>
      <c r="F140" s="180"/>
      <c r="G140" s="180"/>
      <c r="H140" s="180"/>
      <c r="I140" s="180"/>
    </row>
    <row r="141" spans="1:9" ht="15">
      <c r="A141" s="172"/>
      <c r="B141" s="172"/>
      <c r="C141" s="164">
        <f aca="true" t="shared" si="17" ref="C141:I141">SUM(C139:C140)</f>
        <v>16.12</v>
      </c>
      <c r="D141" s="164">
        <f t="shared" si="17"/>
        <v>16.12</v>
      </c>
      <c r="E141" s="164">
        <f t="shared" si="17"/>
        <v>0</v>
      </c>
      <c r="F141" s="164">
        <f t="shared" si="17"/>
        <v>0</v>
      </c>
      <c r="G141" s="164">
        <f t="shared" si="17"/>
        <v>0</v>
      </c>
      <c r="H141" s="164">
        <f t="shared" si="17"/>
        <v>0</v>
      </c>
      <c r="I141" s="164">
        <f t="shared" si="17"/>
        <v>0</v>
      </c>
    </row>
    <row r="143" spans="1:9" ht="15.75">
      <c r="A143" s="170" t="s">
        <v>191</v>
      </c>
      <c r="B143" s="172"/>
      <c r="C143" s="180"/>
      <c r="D143" s="180"/>
      <c r="E143" s="180"/>
      <c r="F143" s="180"/>
      <c r="G143" s="180"/>
      <c r="H143" s="180"/>
      <c r="I143" s="180"/>
    </row>
    <row r="144" spans="1:9" ht="15">
      <c r="A144" s="172"/>
      <c r="B144" s="172"/>
      <c r="C144" s="180"/>
      <c r="D144" s="180"/>
      <c r="E144" s="180"/>
      <c r="F144" s="180"/>
      <c r="G144" s="180"/>
      <c r="H144" s="180"/>
      <c r="I144" s="180"/>
    </row>
    <row r="145" spans="1:10" ht="15">
      <c r="A145" s="172">
        <v>1413</v>
      </c>
      <c r="B145" s="190" t="s">
        <v>250</v>
      </c>
      <c r="C145" s="179">
        <v>0</v>
      </c>
      <c r="D145" s="180">
        <v>15059.5</v>
      </c>
      <c r="E145" s="179">
        <v>0</v>
      </c>
      <c r="F145" s="180">
        <f>E145/$A$5*$A$6</f>
        <v>0</v>
      </c>
      <c r="G145" s="180">
        <v>7578.32</v>
      </c>
      <c r="H145" s="180">
        <f>SUM(E145:G145)</f>
        <v>7578.32</v>
      </c>
      <c r="I145" s="180"/>
      <c r="J145" s="199" t="s">
        <v>278</v>
      </c>
    </row>
    <row r="146" spans="1:9" ht="15">
      <c r="A146" s="172">
        <v>1420</v>
      </c>
      <c r="B146" s="190" t="s">
        <v>252</v>
      </c>
      <c r="C146" s="179">
        <v>1360</v>
      </c>
      <c r="D146" s="180">
        <v>1360</v>
      </c>
      <c r="E146" s="179">
        <v>0</v>
      </c>
      <c r="F146" s="180">
        <f>E146/$A$5*$A$6</f>
        <v>0</v>
      </c>
      <c r="G146" s="180">
        <v>0</v>
      </c>
      <c r="H146" s="180">
        <f>SUM(E146:G146)</f>
        <v>0</v>
      </c>
      <c r="I146" s="180"/>
    </row>
    <row r="147" spans="1:9" ht="15">
      <c r="A147" s="172">
        <v>5105</v>
      </c>
      <c r="B147" s="190" t="s">
        <v>218</v>
      </c>
      <c r="C147" s="179">
        <v>2142.87</v>
      </c>
      <c r="D147" s="180">
        <v>2142.87</v>
      </c>
      <c r="E147" s="179">
        <v>0</v>
      </c>
      <c r="F147" s="180">
        <f>E147/$A$5*$A$6</f>
        <v>0</v>
      </c>
      <c r="G147" s="180">
        <v>0</v>
      </c>
      <c r="H147" s="180">
        <f>SUM(E147:G147)</f>
        <v>0</v>
      </c>
      <c r="I147" s="180"/>
    </row>
    <row r="148" spans="1:9" ht="15">
      <c r="A148" s="172"/>
      <c r="B148" s="172"/>
      <c r="C148" s="181"/>
      <c r="D148" s="182"/>
      <c r="E148" s="181"/>
      <c r="F148" s="180"/>
      <c r="G148" s="180"/>
      <c r="H148" s="180"/>
      <c r="I148" s="180"/>
    </row>
    <row r="149" spans="1:9" ht="15">
      <c r="A149" s="172"/>
      <c r="B149" s="172"/>
      <c r="C149" s="164">
        <f>SUM(C145:C148)</f>
        <v>3502.87</v>
      </c>
      <c r="D149" s="164">
        <f aca="true" t="shared" si="18" ref="D149:I149">SUM(D145:D148)</f>
        <v>18562.37</v>
      </c>
      <c r="E149" s="164">
        <f t="shared" si="18"/>
        <v>0</v>
      </c>
      <c r="F149" s="164">
        <f t="shared" si="18"/>
        <v>0</v>
      </c>
      <c r="G149" s="164">
        <f t="shared" si="18"/>
        <v>7578.32</v>
      </c>
      <c r="H149" s="164">
        <f t="shared" si="18"/>
        <v>7578.32</v>
      </c>
      <c r="I149" s="164">
        <f t="shared" si="18"/>
        <v>0</v>
      </c>
    </row>
    <row r="151" ht="15.75">
      <c r="A151" s="176" t="s">
        <v>192</v>
      </c>
    </row>
    <row r="153" spans="1:10" ht="15">
      <c r="A153" s="188">
        <v>733</v>
      </c>
      <c r="B153" s="190" t="s">
        <v>219</v>
      </c>
      <c r="C153" s="179">
        <v>15000</v>
      </c>
      <c r="D153" s="180">
        <v>15000</v>
      </c>
      <c r="E153" s="179">
        <v>203469.92</v>
      </c>
      <c r="F153" s="180">
        <f>E153/$A$5*$A$6</f>
        <v>67823.30666666667</v>
      </c>
      <c r="G153" s="180">
        <f>-67823+200000+105000</f>
        <v>237177</v>
      </c>
      <c r="H153" s="180">
        <f>SUM(E153:G153)</f>
        <v>508470.2266666667</v>
      </c>
      <c r="I153" s="180"/>
      <c r="J153" s="199" t="s">
        <v>279</v>
      </c>
    </row>
    <row r="155" spans="3:9" ht="15">
      <c r="C155" s="193">
        <f>SUM(C153:C154)</f>
        <v>15000</v>
      </c>
      <c r="D155" s="193">
        <f aca="true" t="shared" si="19" ref="D155:I155">SUM(D153:D154)</f>
        <v>15000</v>
      </c>
      <c r="E155" s="193">
        <f t="shared" si="19"/>
        <v>203469.92</v>
      </c>
      <c r="F155" s="193">
        <f t="shared" si="19"/>
        <v>67823.30666666667</v>
      </c>
      <c r="G155" s="193">
        <f t="shared" si="19"/>
        <v>237177</v>
      </c>
      <c r="H155" s="193">
        <f t="shared" si="19"/>
        <v>508470.2266666667</v>
      </c>
      <c r="I155" s="193">
        <f t="shared" si="19"/>
        <v>0</v>
      </c>
    </row>
    <row r="157" ht="15.75">
      <c r="A157" s="176" t="s">
        <v>193</v>
      </c>
    </row>
    <row r="159" spans="1:8" ht="15">
      <c r="A159" s="188">
        <v>3001</v>
      </c>
      <c r="B159" s="190" t="s">
        <v>222</v>
      </c>
      <c r="C159" s="179">
        <v>143915.75</v>
      </c>
      <c r="D159" s="180">
        <v>312167.79</v>
      </c>
      <c r="E159" s="179">
        <v>174372.52</v>
      </c>
      <c r="F159" s="180">
        <f>E159/$A$5*$A$6</f>
        <v>58124.17333333333</v>
      </c>
      <c r="G159" s="180">
        <v>110128</v>
      </c>
      <c r="H159" s="180">
        <f>SUM(E159:G159)</f>
        <v>342624.69333333336</v>
      </c>
    </row>
    <row r="160" spans="1:8" ht="15">
      <c r="A160" s="188">
        <v>3002</v>
      </c>
      <c r="B160" s="190" t="s">
        <v>220</v>
      </c>
      <c r="C160" s="179">
        <v>88881.02</v>
      </c>
      <c r="D160" s="180">
        <v>189513.41</v>
      </c>
      <c r="E160" s="179">
        <v>119288.72</v>
      </c>
      <c r="F160" s="180">
        <f>E160/$A$5*$A$6</f>
        <v>39762.90666666667</v>
      </c>
      <c r="G160" s="180">
        <v>60869</v>
      </c>
      <c r="H160" s="180">
        <f>SUM(E160:G160)</f>
        <v>219920.62666666668</v>
      </c>
    </row>
    <row r="161" spans="1:8" ht="15">
      <c r="A161" s="188">
        <v>4801</v>
      </c>
      <c r="B161" s="190" t="s">
        <v>221</v>
      </c>
      <c r="C161" s="179">
        <v>1539.4</v>
      </c>
      <c r="D161" s="180">
        <v>3513.72</v>
      </c>
      <c r="E161" s="179">
        <v>1489.9</v>
      </c>
      <c r="F161" s="180">
        <f>E161/$A$5*$A$6</f>
        <v>496.6333333333333</v>
      </c>
      <c r="G161" s="180">
        <v>1478</v>
      </c>
      <c r="H161" s="180">
        <f>SUM(E161:G161)</f>
        <v>3464.5333333333333</v>
      </c>
    </row>
    <row r="162" spans="1:8" ht="15">
      <c r="A162" s="188">
        <v>6000</v>
      </c>
      <c r="B162" s="190" t="s">
        <v>223</v>
      </c>
      <c r="C162" s="179">
        <v>8334</v>
      </c>
      <c r="D162" s="180">
        <v>18567.31</v>
      </c>
      <c r="E162" s="179">
        <v>10129.08</v>
      </c>
      <c r="F162" s="180">
        <f>E162/$A$5*$A$6</f>
        <v>3376.36</v>
      </c>
      <c r="G162" s="180">
        <v>6857</v>
      </c>
      <c r="H162" s="180">
        <f>SUM(E162:G162)</f>
        <v>20362.440000000002</v>
      </c>
    </row>
    <row r="163" spans="1:9" ht="15">
      <c r="A163" s="188"/>
      <c r="B163" s="172"/>
      <c r="C163" s="164">
        <f aca="true" t="shared" si="20" ref="C163:I163">SUM(C159:C162)</f>
        <v>242670.17</v>
      </c>
      <c r="D163" s="164">
        <f t="shared" si="20"/>
        <v>523762.2299999999</v>
      </c>
      <c r="E163" s="164">
        <f>SUM(E159:E162)</f>
        <v>305280.22000000003</v>
      </c>
      <c r="F163" s="164">
        <f t="shared" si="20"/>
        <v>101760.07333333333</v>
      </c>
      <c r="G163" s="164">
        <f t="shared" si="20"/>
        <v>179332</v>
      </c>
      <c r="H163" s="164">
        <f t="shared" si="20"/>
        <v>586372.2933333335</v>
      </c>
      <c r="I163" s="164">
        <f t="shared" si="20"/>
        <v>0</v>
      </c>
    </row>
    <row r="164" spans="1:8" ht="15">
      <c r="A164" s="188"/>
      <c r="B164" s="172"/>
      <c r="C164" s="181"/>
      <c r="D164" s="182"/>
      <c r="E164" s="181"/>
      <c r="F164" s="180"/>
      <c r="G164" s="180"/>
      <c r="H164" s="180"/>
    </row>
    <row r="165" ht="15.75">
      <c r="A165" s="189" t="s">
        <v>194</v>
      </c>
    </row>
    <row r="167" spans="1:8" ht="15">
      <c r="A167" s="168">
        <v>6112</v>
      </c>
      <c r="B167" s="168" t="s">
        <v>195</v>
      </c>
      <c r="C167" s="179">
        <v>168718.82</v>
      </c>
      <c r="D167" s="180">
        <v>272654.11</v>
      </c>
      <c r="E167" s="179">
        <v>249856.4</v>
      </c>
      <c r="F167" s="180">
        <f>E167/$A$5*$A$6</f>
        <v>83285.46666666666</v>
      </c>
      <c r="G167" s="180">
        <v>41164.12</v>
      </c>
      <c r="H167" s="180">
        <f>SUM(E167:G167)</f>
        <v>374305.98666666663</v>
      </c>
    </row>
    <row r="168" spans="3:8" ht="15">
      <c r="C168" s="181"/>
      <c r="D168" s="182"/>
      <c r="E168" s="181"/>
      <c r="F168" s="180"/>
      <c r="G168" s="180"/>
      <c r="H168" s="180"/>
    </row>
    <row r="169" spans="3:9" ht="15">
      <c r="C169" s="164">
        <f aca="true" t="shared" si="21" ref="C169:I169">SUM(C167:C168)</f>
        <v>168718.82</v>
      </c>
      <c r="D169" s="164">
        <f t="shared" si="21"/>
        <v>272654.11</v>
      </c>
      <c r="E169" s="164">
        <f t="shared" si="21"/>
        <v>249856.4</v>
      </c>
      <c r="F169" s="164">
        <f t="shared" si="21"/>
        <v>83285.46666666666</v>
      </c>
      <c r="G169" s="164">
        <f t="shared" si="21"/>
        <v>41164.12</v>
      </c>
      <c r="H169" s="164">
        <f t="shared" si="21"/>
        <v>374305.98666666663</v>
      </c>
      <c r="I169" s="164">
        <f t="shared" si="21"/>
        <v>0</v>
      </c>
    </row>
    <row r="170" spans="3:8" ht="15">
      <c r="C170" s="181"/>
      <c r="D170" s="182"/>
      <c r="E170" s="181"/>
      <c r="F170" s="180"/>
      <c r="G170" s="180"/>
      <c r="H170" s="180"/>
    </row>
    <row r="171" spans="1:8" ht="15.75">
      <c r="A171" s="170" t="s">
        <v>224</v>
      </c>
      <c r="B171" s="172"/>
      <c r="C171" s="180"/>
      <c r="D171" s="180"/>
      <c r="E171" s="180"/>
      <c r="F171" s="180"/>
      <c r="G171" s="180"/>
      <c r="H171" s="180"/>
    </row>
    <row r="172" spans="1:9" ht="15">
      <c r="A172" s="172"/>
      <c r="B172" s="172"/>
      <c r="C172" s="180"/>
      <c r="D172" s="180"/>
      <c r="E172" s="180"/>
      <c r="F172" s="180"/>
      <c r="G172" s="180"/>
      <c r="H172" s="180"/>
      <c r="I172" s="180"/>
    </row>
    <row r="173" spans="1:9" ht="15">
      <c r="A173" s="172">
        <v>710</v>
      </c>
      <c r="B173" s="190" t="s">
        <v>225</v>
      </c>
      <c r="C173" s="187">
        <v>622874.82</v>
      </c>
      <c r="D173" s="180">
        <v>1170128.43</v>
      </c>
      <c r="E173" s="187">
        <v>563818.5</v>
      </c>
      <c r="F173" s="180">
        <f aca="true" t="shared" si="22" ref="F173:F194">E173/$A$5*$A$7</f>
        <v>250586</v>
      </c>
      <c r="G173" s="180">
        <v>218412</v>
      </c>
      <c r="H173" s="180">
        <f>SUM(E173:G173)</f>
        <v>1032816.5</v>
      </c>
      <c r="I173" s="180">
        <v>78255</v>
      </c>
    </row>
    <row r="174" spans="1:9" ht="15">
      <c r="A174" s="172">
        <v>740</v>
      </c>
      <c r="B174" s="190" t="s">
        <v>226</v>
      </c>
      <c r="C174" s="187">
        <v>504.6</v>
      </c>
      <c r="D174" s="180">
        <v>549.6</v>
      </c>
      <c r="E174" s="187">
        <v>2246.54</v>
      </c>
      <c r="F174" s="180">
        <f t="shared" si="22"/>
        <v>998.4622222222222</v>
      </c>
      <c r="G174" s="180">
        <v>-953</v>
      </c>
      <c r="H174" s="180">
        <f>SUM(E174:G174)</f>
        <v>2292.0022222222224</v>
      </c>
      <c r="I174" s="180"/>
    </row>
    <row r="175" spans="1:9" ht="15">
      <c r="A175" s="172">
        <v>741</v>
      </c>
      <c r="B175" s="190" t="s">
        <v>227</v>
      </c>
      <c r="C175" s="179">
        <v>2674.22</v>
      </c>
      <c r="D175" s="180">
        <v>3688.65</v>
      </c>
      <c r="E175" s="179">
        <v>1748.71</v>
      </c>
      <c r="F175" s="180">
        <f t="shared" si="22"/>
        <v>777.2044444444444</v>
      </c>
      <c r="G175" s="180">
        <v>238</v>
      </c>
      <c r="H175" s="180">
        <f>SUM(E175:G175)</f>
        <v>2763.9144444444446</v>
      </c>
      <c r="I175" s="180"/>
    </row>
    <row r="176" spans="1:9" ht="15">
      <c r="A176" s="172">
        <v>742</v>
      </c>
      <c r="B176" s="190" t="s">
        <v>228</v>
      </c>
      <c r="C176" s="179">
        <v>7638.09</v>
      </c>
      <c r="D176" s="180">
        <v>11080.65</v>
      </c>
      <c r="E176" s="179">
        <v>4785.9</v>
      </c>
      <c r="F176" s="180">
        <f t="shared" si="22"/>
        <v>2127.0666666666666</v>
      </c>
      <c r="G176" s="180">
        <v>-2127</v>
      </c>
      <c r="H176" s="180">
        <f>SUM(E176:G176)</f>
        <v>4785.966666666666</v>
      </c>
      <c r="I176" s="180">
        <v>8547.42</v>
      </c>
    </row>
    <row r="177" spans="1:9" ht="15">
      <c r="A177" s="172">
        <v>743</v>
      </c>
      <c r="B177" s="190" t="s">
        <v>229</v>
      </c>
      <c r="C177" s="179">
        <v>6085.33</v>
      </c>
      <c r="D177" s="180">
        <v>9123.31</v>
      </c>
      <c r="E177" s="179">
        <v>5181.22</v>
      </c>
      <c r="F177" s="180">
        <f t="shared" si="22"/>
        <v>2302.7644444444445</v>
      </c>
      <c r="G177" s="180">
        <v>-2303</v>
      </c>
      <c r="H177" s="180">
        <f>SUM(E177:G177)</f>
        <v>5180.984444444444</v>
      </c>
      <c r="I177" s="180">
        <v>6152.1</v>
      </c>
    </row>
    <row r="178" spans="1:9" ht="15">
      <c r="A178" s="172">
        <v>744</v>
      </c>
      <c r="B178" s="190" t="s">
        <v>230</v>
      </c>
      <c r="C178" s="179">
        <v>24096.99</v>
      </c>
      <c r="D178" s="180">
        <v>38308.94</v>
      </c>
      <c r="E178" s="179">
        <v>28077.4</v>
      </c>
      <c r="F178" s="180">
        <f t="shared" si="22"/>
        <v>12478.844444444445</v>
      </c>
      <c r="G178" s="180">
        <v>-10479</v>
      </c>
      <c r="H178" s="180">
        <f aca="true" t="shared" si="23" ref="H178:H186">SUM(E178:G178)</f>
        <v>30077.244444444448</v>
      </c>
      <c r="I178" s="180">
        <v>14963.89</v>
      </c>
    </row>
    <row r="179" spans="1:9" ht="15">
      <c r="A179" s="172">
        <v>745</v>
      </c>
      <c r="B179" s="190" t="s">
        <v>231</v>
      </c>
      <c r="C179" s="179">
        <v>22195.96</v>
      </c>
      <c r="D179" s="180">
        <v>23330.48</v>
      </c>
      <c r="E179" s="179">
        <v>21051.37</v>
      </c>
      <c r="F179" s="180">
        <f t="shared" si="22"/>
        <v>9356.164444444445</v>
      </c>
      <c r="G179" s="180">
        <v>-9356</v>
      </c>
      <c r="H179" s="180">
        <f>SUM(E179:G179)</f>
        <v>21051.53444444444</v>
      </c>
      <c r="I179" s="180">
        <v>2500</v>
      </c>
    </row>
    <row r="180" spans="1:9" ht="15">
      <c r="A180" s="172">
        <v>925</v>
      </c>
      <c r="B180" s="190" t="s">
        <v>232</v>
      </c>
      <c r="C180" s="179">
        <v>66824.06</v>
      </c>
      <c r="D180" s="180">
        <v>94354.98</v>
      </c>
      <c r="E180" s="179">
        <v>43494.71</v>
      </c>
      <c r="F180" s="180">
        <f t="shared" si="22"/>
        <v>19330.98222222222</v>
      </c>
      <c r="G180" s="180">
        <v>-16000</v>
      </c>
      <c r="H180" s="180">
        <f t="shared" si="23"/>
        <v>46825.69222222222</v>
      </c>
      <c r="I180" s="180">
        <v>62205.29</v>
      </c>
    </row>
    <row r="181" spans="1:9" ht="15">
      <c r="A181" s="172">
        <v>960</v>
      </c>
      <c r="B181" s="190" t="s">
        <v>233</v>
      </c>
      <c r="C181" s="179">
        <v>22985.95</v>
      </c>
      <c r="D181" s="180">
        <v>31013.72</v>
      </c>
      <c r="E181" s="179">
        <v>14454.25</v>
      </c>
      <c r="F181" s="180">
        <f t="shared" si="22"/>
        <v>6424.111111111111</v>
      </c>
      <c r="G181" s="180">
        <v>1604</v>
      </c>
      <c r="H181" s="180">
        <f t="shared" si="23"/>
        <v>22482.36111111111</v>
      </c>
      <c r="I181" s="180"/>
    </row>
    <row r="182" spans="1:9" ht="15">
      <c r="A182" s="172">
        <v>961</v>
      </c>
      <c r="B182" s="190" t="s">
        <v>234</v>
      </c>
      <c r="C182" s="179">
        <v>60027.52</v>
      </c>
      <c r="D182" s="180">
        <v>82244.15</v>
      </c>
      <c r="E182" s="179">
        <v>32820.27</v>
      </c>
      <c r="F182" s="180">
        <f t="shared" si="22"/>
        <v>14586.786666666665</v>
      </c>
      <c r="G182" s="180">
        <v>7629</v>
      </c>
      <c r="H182" s="180">
        <f t="shared" si="23"/>
        <v>55036.056666666664</v>
      </c>
      <c r="I182" s="180"/>
    </row>
    <row r="183" spans="1:9" ht="15">
      <c r="A183" s="172">
        <v>962</v>
      </c>
      <c r="B183" s="190" t="s">
        <v>235</v>
      </c>
      <c r="C183" s="179">
        <v>9372.68</v>
      </c>
      <c r="D183" s="180">
        <v>11850.18</v>
      </c>
      <c r="E183" s="179">
        <v>6831.53</v>
      </c>
      <c r="F183" s="180">
        <f t="shared" si="22"/>
        <v>3036.2355555555555</v>
      </c>
      <c r="G183" s="180">
        <v>-559</v>
      </c>
      <c r="H183" s="180">
        <f t="shared" si="23"/>
        <v>9308.765555555556</v>
      </c>
      <c r="I183" s="180"/>
    </row>
    <row r="184" spans="1:9" ht="15">
      <c r="A184" s="172">
        <v>963</v>
      </c>
      <c r="B184" s="190" t="s">
        <v>236</v>
      </c>
      <c r="C184" s="179">
        <v>43947.92</v>
      </c>
      <c r="D184" s="180">
        <v>66156.49</v>
      </c>
      <c r="E184" s="179">
        <v>41426.94</v>
      </c>
      <c r="F184" s="180">
        <f t="shared" si="22"/>
        <v>18411.973333333335</v>
      </c>
      <c r="G184" s="180">
        <v>3796</v>
      </c>
      <c r="H184" s="180">
        <f t="shared" si="23"/>
        <v>63634.91333333334</v>
      </c>
      <c r="I184" s="180"/>
    </row>
    <row r="185" spans="1:9" ht="15">
      <c r="A185" s="172">
        <v>964</v>
      </c>
      <c r="B185" s="190" t="s">
        <v>237</v>
      </c>
      <c r="C185" s="179">
        <v>8137.86</v>
      </c>
      <c r="D185" s="180">
        <v>16759.84</v>
      </c>
      <c r="E185" s="179">
        <v>13512.95</v>
      </c>
      <c r="F185" s="180">
        <f t="shared" si="22"/>
        <v>6005.7555555555555</v>
      </c>
      <c r="G185" s="180">
        <v>2416</v>
      </c>
      <c r="H185" s="180">
        <f t="shared" si="23"/>
        <v>21934.705555555556</v>
      </c>
      <c r="I185" s="180">
        <v>200.42</v>
      </c>
    </row>
    <row r="186" spans="1:9" ht="15">
      <c r="A186" s="172">
        <v>965</v>
      </c>
      <c r="B186" s="190" t="s">
        <v>238</v>
      </c>
      <c r="C186" s="179">
        <v>27786.24</v>
      </c>
      <c r="D186" s="180">
        <v>43102.29</v>
      </c>
      <c r="E186" s="179">
        <v>35638.74</v>
      </c>
      <c r="F186" s="180">
        <f t="shared" si="22"/>
        <v>15839.439999999999</v>
      </c>
      <c r="G186" s="180">
        <v>-523</v>
      </c>
      <c r="H186" s="180">
        <f t="shared" si="23"/>
        <v>50955.17999999999</v>
      </c>
      <c r="I186" s="180"/>
    </row>
    <row r="187" spans="1:9" ht="15">
      <c r="A187" s="172">
        <v>966</v>
      </c>
      <c r="B187" s="190" t="s">
        <v>239</v>
      </c>
      <c r="C187" s="179">
        <v>6523.48</v>
      </c>
      <c r="D187" s="180">
        <v>8694.72</v>
      </c>
      <c r="E187" s="179">
        <v>9956.75</v>
      </c>
      <c r="F187" s="180">
        <f t="shared" si="22"/>
        <v>4425.222222222223</v>
      </c>
      <c r="G187" s="180">
        <v>-2253</v>
      </c>
      <c r="H187" s="180">
        <f aca="true" t="shared" si="24" ref="H187:H194">SUM(E187:G187)</f>
        <v>12128.972222222223</v>
      </c>
      <c r="I187" s="180"/>
    </row>
    <row r="188" spans="1:9" ht="15">
      <c r="A188" s="172">
        <v>6036</v>
      </c>
      <c r="B188" s="190" t="s">
        <v>240</v>
      </c>
      <c r="C188" s="179">
        <v>1134608.8</v>
      </c>
      <c r="D188" s="180">
        <v>1846892.63</v>
      </c>
      <c r="E188" s="179">
        <v>362696.87</v>
      </c>
      <c r="F188" s="180">
        <f t="shared" si="22"/>
        <v>161198.60888888888</v>
      </c>
      <c r="G188" s="180">
        <v>551086</v>
      </c>
      <c r="H188" s="180">
        <f t="shared" si="24"/>
        <v>1074981.4788888888</v>
      </c>
      <c r="I188" s="180"/>
    </row>
    <row r="189" spans="1:9" ht="15">
      <c r="A189" s="172">
        <v>6172</v>
      </c>
      <c r="B189" s="190" t="s">
        <v>241</v>
      </c>
      <c r="C189" s="179">
        <v>4259.76</v>
      </c>
      <c r="D189" s="180">
        <v>5540.01</v>
      </c>
      <c r="E189" s="179">
        <v>2714</v>
      </c>
      <c r="F189" s="180">
        <f t="shared" si="22"/>
        <v>1206.2222222222222</v>
      </c>
      <c r="G189" s="180">
        <v>74</v>
      </c>
      <c r="H189" s="180">
        <f t="shared" si="24"/>
        <v>3994.222222222222</v>
      </c>
      <c r="I189" s="180"/>
    </row>
    <row r="190" spans="1:9" ht="15">
      <c r="A190" s="172">
        <v>6173</v>
      </c>
      <c r="B190" s="190" t="s">
        <v>242</v>
      </c>
      <c r="C190" s="179">
        <v>2659</v>
      </c>
      <c r="D190" s="180">
        <v>3803</v>
      </c>
      <c r="E190" s="179">
        <v>2304.5</v>
      </c>
      <c r="F190" s="180">
        <f t="shared" si="22"/>
        <v>1024.2222222222222</v>
      </c>
      <c r="G190" s="180">
        <v>210</v>
      </c>
      <c r="H190" s="180">
        <f t="shared" si="24"/>
        <v>3538.722222222222</v>
      </c>
      <c r="I190" s="180"/>
    </row>
    <row r="191" spans="1:9" ht="15">
      <c r="A191" s="172">
        <v>6174</v>
      </c>
      <c r="B191" s="190" t="s">
        <v>244</v>
      </c>
      <c r="C191" s="179">
        <v>24216.5</v>
      </c>
      <c r="D191" s="180">
        <v>41165</v>
      </c>
      <c r="E191" s="179">
        <v>40238.75</v>
      </c>
      <c r="F191" s="180">
        <f t="shared" si="22"/>
        <v>17883.88888888889</v>
      </c>
      <c r="G191" s="180">
        <v>-936</v>
      </c>
      <c r="H191" s="180">
        <f t="shared" si="24"/>
        <v>57186.63888888889</v>
      </c>
      <c r="I191" s="180"/>
    </row>
    <row r="192" spans="1:9" ht="15">
      <c r="A192" s="172">
        <v>6329</v>
      </c>
      <c r="B192" s="190" t="s">
        <v>243</v>
      </c>
      <c r="C192" s="179">
        <v>565673.63</v>
      </c>
      <c r="D192" s="180">
        <v>916598.63</v>
      </c>
      <c r="E192" s="179">
        <v>381897.47</v>
      </c>
      <c r="F192" s="180">
        <f t="shared" si="22"/>
        <v>169732.20888888888</v>
      </c>
      <c r="G192" s="180">
        <v>-139732</v>
      </c>
      <c r="H192" s="180">
        <f t="shared" si="24"/>
        <v>411897.6788888888</v>
      </c>
      <c r="I192" s="180">
        <v>332389.48</v>
      </c>
    </row>
    <row r="193" spans="1:9" ht="15">
      <c r="A193" s="172">
        <v>9426</v>
      </c>
      <c r="B193" s="190" t="s">
        <v>245</v>
      </c>
      <c r="C193" s="179">
        <v>242865.43</v>
      </c>
      <c r="D193" s="180">
        <v>375698.87</v>
      </c>
      <c r="E193" s="179">
        <v>179041.1</v>
      </c>
      <c r="F193" s="180">
        <f t="shared" si="22"/>
        <v>79573.82222222222</v>
      </c>
      <c r="G193" s="180">
        <v>53260</v>
      </c>
      <c r="H193" s="180">
        <f t="shared" si="24"/>
        <v>311874.9222222222</v>
      </c>
      <c r="I193" s="180"/>
    </row>
    <row r="194" spans="1:9" ht="15">
      <c r="A194" s="172">
        <v>9429</v>
      </c>
      <c r="B194" s="190" t="s">
        <v>246</v>
      </c>
      <c r="C194" s="179">
        <v>56197.93</v>
      </c>
      <c r="D194" s="180">
        <v>76795.44</v>
      </c>
      <c r="E194" s="179">
        <v>38371.3</v>
      </c>
      <c r="F194" s="180">
        <f t="shared" si="22"/>
        <v>17053.911111111112</v>
      </c>
      <c r="G194" s="180">
        <v>3543</v>
      </c>
      <c r="H194" s="180">
        <f t="shared" si="24"/>
        <v>58968.211111111115</v>
      </c>
      <c r="I194" s="180"/>
    </row>
    <row r="195" spans="1:9" ht="15">
      <c r="A195" s="172"/>
      <c r="B195" s="172"/>
      <c r="C195" s="183"/>
      <c r="D195" s="183"/>
      <c r="E195" s="183"/>
      <c r="F195" s="183"/>
      <c r="G195" s="183"/>
      <c r="H195" s="183"/>
      <c r="I195" s="183"/>
    </row>
    <row r="196" spans="1:9" ht="15">
      <c r="A196" s="172"/>
      <c r="B196" s="172"/>
      <c r="C196" s="183">
        <f aca="true" t="shared" si="25" ref="C196:I196">SUM(C173:C195)</f>
        <v>2962156.7700000005</v>
      </c>
      <c r="D196" s="183">
        <f t="shared" si="25"/>
        <v>4876880.01</v>
      </c>
      <c r="E196" s="183">
        <f t="shared" si="25"/>
        <v>1832309.77</v>
      </c>
      <c r="F196" s="183">
        <f t="shared" si="25"/>
        <v>814359.8977777779</v>
      </c>
      <c r="G196" s="183">
        <f t="shared" si="25"/>
        <v>657047</v>
      </c>
      <c r="H196" s="183">
        <f t="shared" si="25"/>
        <v>3303716.667777777</v>
      </c>
      <c r="I196" s="183">
        <f t="shared" si="25"/>
        <v>505213.6</v>
      </c>
    </row>
    <row r="197" spans="3:8" ht="15">
      <c r="C197" s="181"/>
      <c r="D197" s="182"/>
      <c r="E197" s="181"/>
      <c r="F197" s="180"/>
      <c r="G197" s="180"/>
      <c r="H197" s="180"/>
    </row>
    <row r="198" ht="15.75">
      <c r="A198" s="189" t="s">
        <v>196</v>
      </c>
    </row>
    <row r="200" spans="1:8" ht="15">
      <c r="A200" s="168">
        <v>5209</v>
      </c>
      <c r="B200" s="168" t="s">
        <v>197</v>
      </c>
      <c r="C200" s="179">
        <v>21590.41</v>
      </c>
      <c r="D200" s="180">
        <v>34512.8</v>
      </c>
      <c r="E200" s="179">
        <v>16525.98</v>
      </c>
      <c r="F200" s="180">
        <f>E200/$A$5*$A$6</f>
        <v>5508.66</v>
      </c>
      <c r="G200" s="180">
        <v>7414</v>
      </c>
      <c r="H200" s="180">
        <f>SUM(E200:G200)</f>
        <v>29448.64</v>
      </c>
    </row>
    <row r="202" spans="3:9" ht="15">
      <c r="C202" s="193">
        <f>SUM(C200:C201)</f>
        <v>21590.41</v>
      </c>
      <c r="D202" s="193">
        <f aca="true" t="shared" si="26" ref="D202:I202">SUM(D200:D201)</f>
        <v>34512.8</v>
      </c>
      <c r="E202" s="193">
        <f t="shared" si="26"/>
        <v>16525.98</v>
      </c>
      <c r="F202" s="193">
        <f t="shared" si="26"/>
        <v>5508.66</v>
      </c>
      <c r="G202" s="193">
        <f t="shared" si="26"/>
        <v>7414</v>
      </c>
      <c r="H202" s="193">
        <f t="shared" si="26"/>
        <v>29448.64</v>
      </c>
      <c r="I202" s="193">
        <f t="shared" si="26"/>
        <v>0</v>
      </c>
    </row>
    <row r="204" spans="1:9" ht="15">
      <c r="A204" s="168" t="s">
        <v>198</v>
      </c>
      <c r="C204" s="171">
        <f aca="true" t="shared" si="27" ref="C204:H204">+C20+C45+C55+C63+C92+C98+C118+C127+C135+C141+C149+C155+C163+C169+C196+C202</f>
        <v>6495062.550000001</v>
      </c>
      <c r="D204" s="171">
        <f t="shared" si="27"/>
        <v>9973308.82</v>
      </c>
      <c r="E204" s="171">
        <f>+E20+E45+E55+E63+E92+E98+E118+E127+E135+E141+E149+E155+E163+E169+E196+E202</f>
        <v>5745703.620000001</v>
      </c>
      <c r="F204" s="171">
        <f t="shared" si="27"/>
        <v>2205667.8755555553</v>
      </c>
      <c r="G204" s="171">
        <f t="shared" si="27"/>
        <v>785882.44</v>
      </c>
      <c r="H204" s="171">
        <f t="shared" si="27"/>
        <v>8737253.935555555</v>
      </c>
      <c r="I204" s="171">
        <f>+I20+I45+I55+I63+I92+I98+I118+I127+I135+I141+I149+I155+I163+I169+I196+I202</f>
        <v>3725119.2000000007</v>
      </c>
    </row>
  </sheetData>
  <printOptions/>
  <pageMargins left="0.25" right="0.25" top="0.25" bottom="0.22" header="0.5" footer="0.5"/>
  <pageSetup fitToHeight="1" fitToWidth="1" horizontalDpi="600" verticalDpi="600" orientation="portrait" scale="24" r:id="rId1"/>
  <rowBreaks count="1" manualBreakCount="1"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Consumer &amp; Industry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Terri Jo Eklund</cp:lastModifiedBy>
  <cp:lastPrinted>2011-05-12T18:06:31Z</cp:lastPrinted>
  <dcterms:created xsi:type="dcterms:W3CDTF">2001-12-04T13:51:00Z</dcterms:created>
  <dcterms:modified xsi:type="dcterms:W3CDTF">2011-07-12T17:34:48Z</dcterms:modified>
  <cp:category/>
  <cp:version/>
  <cp:contentType/>
  <cp:contentStatus/>
</cp:coreProperties>
</file>