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830" windowWidth="9435" windowHeight="5475" tabRatio="608" activeTab="0"/>
  </bookViews>
  <sheets>
    <sheet name="MCB" sheetId="1" r:id="rId1"/>
    <sheet name="PR Adjustments" sheetId="2" r:id="rId2"/>
    <sheet name="Project_CSSM" sheetId="3" r:id="rId3"/>
  </sheets>
  <definedNames>
    <definedName name="_Order1" hidden="1">255</definedName>
    <definedName name="_Order2" hidden="1">255</definedName>
    <definedName name="_xlnm.Print_Area" localSheetId="0">'MCB'!$A$1:$P$86</definedName>
    <definedName name="_xlnm.Print_Area" localSheetId="1">'PR Adjustments'!$A$1:$J$67</definedName>
    <definedName name="_xlnm.Print_Titles" localSheetId="1">'PR Adjustments'!$1:$9</definedName>
    <definedName name="_xlnm.Print_Titles" localSheetId="2">'Project_CSSM'!$8:$10</definedName>
  </definedNames>
  <calcPr fullCalcOnLoad="1"/>
</workbook>
</file>

<file path=xl/sharedStrings.xml><?xml version="1.0" encoding="utf-8"?>
<sst xmlns="http://schemas.openxmlformats.org/spreadsheetml/2006/main" count="324" uniqueCount="278">
  <si>
    <t>Projections Based on:</t>
  </si>
  <si>
    <t>12 Mths*</t>
  </si>
  <si>
    <t>13 Mths**</t>
  </si>
  <si>
    <t>Based on PR</t>
  </si>
  <si>
    <t xml:space="preserve"> </t>
  </si>
  <si>
    <t>Completed</t>
  </si>
  <si>
    <t>Remaining</t>
  </si>
  <si>
    <t>PLAN</t>
  </si>
  <si>
    <t>ACTUAL EXPENDITURES</t>
  </si>
  <si>
    <t>PROJECTIONS</t>
  </si>
  <si>
    <t>Adjusted</t>
  </si>
  <si>
    <t>Current</t>
  </si>
  <si>
    <t>Projected</t>
  </si>
  <si>
    <t>Anticipated</t>
  </si>
  <si>
    <t>Financial</t>
  </si>
  <si>
    <t>Month</t>
  </si>
  <si>
    <t>Full Year</t>
  </si>
  <si>
    <t>Percent</t>
  </si>
  <si>
    <t>Categories</t>
  </si>
  <si>
    <t>Totals</t>
  </si>
  <si>
    <t>Plan</t>
  </si>
  <si>
    <t>Adj.</t>
  </si>
  <si>
    <t>Expend.</t>
  </si>
  <si>
    <t>Expenses</t>
  </si>
  <si>
    <t>Encumb.</t>
  </si>
  <si>
    <t>Total</t>
  </si>
  <si>
    <t>Expenditures</t>
  </si>
  <si>
    <t>Balance</t>
  </si>
  <si>
    <t>Of Plan</t>
  </si>
  <si>
    <t>Guideline</t>
  </si>
  <si>
    <t>Authorized Approp.</t>
  </si>
  <si>
    <t>Available Approp.</t>
  </si>
  <si>
    <t>EXPENDITURES:</t>
  </si>
  <si>
    <t xml:space="preserve">  Salaries &amp; Wages</t>
  </si>
  <si>
    <t xml:space="preserve">  Longevity &amp; Insurance</t>
  </si>
  <si>
    <t xml:space="preserve">  Retirement &amp; FICA</t>
  </si>
  <si>
    <t xml:space="preserve">  Communications**</t>
  </si>
  <si>
    <t xml:space="preserve">  Contractual Services*</t>
  </si>
  <si>
    <t xml:space="preserve">  Supplies &amp; Materials**</t>
  </si>
  <si>
    <t xml:space="preserve">  Equipment*</t>
  </si>
  <si>
    <t>TOTAL Expenditures</t>
  </si>
  <si>
    <t>Remaining Approp.</t>
  </si>
  <si>
    <t>SUMMARY BY FUNDING SOURCE</t>
  </si>
  <si>
    <t xml:space="preserve">  GF/GP - 7001</t>
  </si>
  <si>
    <t>TOTAL</t>
  </si>
  <si>
    <t>Salary and Wage Adjustment</t>
  </si>
  <si>
    <t>PP #Used:</t>
  </si>
  <si>
    <t>Payperiods Remaining:</t>
  </si>
  <si>
    <t>Ins./Long.</t>
  </si>
  <si>
    <t>FICA/Ret.</t>
  </si>
  <si>
    <t>Salary and Fringes Projection Report</t>
  </si>
  <si>
    <t>ESTIMATED INCREASES</t>
  </si>
  <si>
    <t>Pay</t>
  </si>
  <si>
    <t>Date</t>
  </si>
  <si>
    <t>Position</t>
  </si>
  <si>
    <t>Position #</t>
  </si>
  <si>
    <t>Pay Rate</t>
  </si>
  <si>
    <t>Biweekly</t>
  </si>
  <si>
    <t>Periods</t>
  </si>
  <si>
    <t>Salaries</t>
  </si>
  <si>
    <t>Leave of Absences  (Currently off payroll)</t>
  </si>
  <si>
    <t>Return to work Date</t>
  </si>
  <si>
    <t>Payperiod Remain.</t>
  </si>
  <si>
    <t>Anticipated Salaries</t>
  </si>
  <si>
    <t>NAME</t>
  </si>
  <si>
    <t>Miscellaneous Decreases</t>
  </si>
  <si>
    <t>TOTAL ESTMATED INCREASES</t>
  </si>
  <si>
    <t xml:space="preserve">ESTIMATED DECREASES </t>
  </si>
  <si>
    <t>Retirement overestimate due to Longevity</t>
  </si>
  <si>
    <t>Amount paid this payperiod</t>
  </si>
  <si>
    <t>Overestimate due to payroll adjustment</t>
  </si>
  <si>
    <t>(Retroactive/lump sum)</t>
  </si>
  <si>
    <t>TOTAL DECREASES</t>
  </si>
  <si>
    <t>TOTAL ADJUSTMENTS</t>
  </si>
  <si>
    <t>TOTAL PROJECTION</t>
  </si>
  <si>
    <t>Miscellaneous Increases</t>
  </si>
  <si>
    <t>Estimated Early Out Retirement Savings</t>
  </si>
  <si>
    <t>Going Off Payroll</t>
  </si>
  <si>
    <t xml:space="preserve">  Terminal Leave</t>
  </si>
  <si>
    <t>Commission For The Blind (11210)</t>
  </si>
  <si>
    <t xml:space="preserve">  FEDERAL - 0715</t>
  </si>
  <si>
    <t xml:space="preserve">  PRIVATE - 0905</t>
  </si>
  <si>
    <t xml:space="preserve">  RESTRICTED - 1195</t>
  </si>
  <si>
    <t xml:space="preserve">  LOCAL - 1337</t>
  </si>
  <si>
    <t xml:space="preserve">  Miscellaneous**</t>
  </si>
  <si>
    <t xml:space="preserve">  Utilities**</t>
  </si>
  <si>
    <t xml:space="preserve">  Grants*</t>
  </si>
  <si>
    <t xml:space="preserve">  Unavailable funds</t>
  </si>
  <si>
    <t>BOARDS, AUTHORITIES AND COMMISSIONS</t>
  </si>
  <si>
    <t xml:space="preserve">  Cost Allocations**</t>
  </si>
  <si>
    <t xml:space="preserve">  Consulting Services</t>
  </si>
  <si>
    <t xml:space="preserve">  Charges From DIT</t>
  </si>
  <si>
    <t xml:space="preserve">  Fiscal and Interest Payments</t>
  </si>
  <si>
    <t xml:space="preserve">  Client Services and BEP</t>
  </si>
  <si>
    <t>.</t>
  </si>
  <si>
    <t>FICA/Ret. **</t>
  </si>
  <si>
    <t>** amount includes the BEP operator retirement projections</t>
  </si>
  <si>
    <t xml:space="preserve">Salary </t>
  </si>
  <si>
    <t xml:space="preserve">  Indirect Salaries</t>
  </si>
  <si>
    <t xml:space="preserve">  Internal Audit</t>
  </si>
  <si>
    <t xml:space="preserve">  Auditor Gen Charges</t>
  </si>
  <si>
    <t>Anticipated Hires - C47s</t>
  </si>
  <si>
    <t>Balance/Lapse</t>
  </si>
  <si>
    <t>Position/Employee</t>
  </si>
  <si>
    <t>3/11</t>
  </si>
  <si>
    <t>Ret. *15pp remaining</t>
  </si>
  <si>
    <t>Completed Months</t>
  </si>
  <si>
    <t>Months Remain from 12</t>
  </si>
  <si>
    <t>Months Remain from 13</t>
  </si>
  <si>
    <t>Prior Year</t>
  </si>
  <si>
    <t>Actual Exp.</t>
  </si>
  <si>
    <t xml:space="preserve">Projected </t>
  </si>
  <si>
    <t xml:space="preserve">Total </t>
  </si>
  <si>
    <t>Adjustments</t>
  </si>
  <si>
    <t>Terminal Leave  (04)</t>
  </si>
  <si>
    <t>Terminal Longevity Retirement</t>
  </si>
  <si>
    <t>Terminal Longevity Death</t>
  </si>
  <si>
    <t>Term Annual Comp Time &amp; 1981 Defer</t>
  </si>
  <si>
    <t>Terminal Sick Leave Other</t>
  </si>
  <si>
    <t>Term 1982 &amp; Later Deferred Hrs</t>
  </si>
  <si>
    <t>Travel  (05, 06)</t>
  </si>
  <si>
    <t>St. Vehicle Usage In St.</t>
  </si>
  <si>
    <t>Vehicles-lease Payments Enterprise</t>
  </si>
  <si>
    <t>Std Mileage-Non Tax In St.</t>
  </si>
  <si>
    <t>Prem Mileage-Non Tax In St.</t>
  </si>
  <si>
    <t>Meals NonTax In St.</t>
  </si>
  <si>
    <t>Meals Tax In St.</t>
  </si>
  <si>
    <t>Lodging In St.</t>
  </si>
  <si>
    <t>Other Travel Exp In St.</t>
  </si>
  <si>
    <t>Taxable Employee Exp Reim - In State</t>
  </si>
  <si>
    <t>Non-Tax Employee Exp Reim - In State</t>
  </si>
  <si>
    <t>STD Mile-Nontax-out of State</t>
  </si>
  <si>
    <t>Airfare - Out of State</t>
  </si>
  <si>
    <t>Meals Nontax. out St.</t>
  </si>
  <si>
    <t>Lodging Out of St.</t>
  </si>
  <si>
    <t>Other Employee Travel Exp - Out of State</t>
  </si>
  <si>
    <t>Communications  (07)</t>
  </si>
  <si>
    <t>Telephone, Telegraph</t>
  </si>
  <si>
    <t>Telephone Cellular</t>
  </si>
  <si>
    <t>Wireless and Internet Services</t>
  </si>
  <si>
    <t>DIT-Telephone, Telegraph</t>
  </si>
  <si>
    <t>DIT-Telephone Installation</t>
  </si>
  <si>
    <t>Utilities ( 08)</t>
  </si>
  <si>
    <t>Utilities- Electric</t>
  </si>
  <si>
    <t>Contractual Services  (09)</t>
  </si>
  <si>
    <t>Drug Testing Serv</t>
  </si>
  <si>
    <t>Other Purchases Services</t>
  </si>
  <si>
    <t>Other Purch Svs - Temporary Clerical</t>
  </si>
  <si>
    <t>Other Fees &amp; Compensations</t>
  </si>
  <si>
    <t>Conferences and Seminars</t>
  </si>
  <si>
    <t>Freight</t>
  </si>
  <si>
    <t>Insurance &amp; bonds</t>
  </si>
  <si>
    <t>Advertising</t>
  </si>
  <si>
    <t>Mailing Serv</t>
  </si>
  <si>
    <t>Maintenance Services - Bldg Repair</t>
  </si>
  <si>
    <t>Rentals - PO Cox, Conf &amp; Meeting Room</t>
  </si>
  <si>
    <t>DIT-Purchased Data Processing Serv</t>
  </si>
  <si>
    <t>United Parcel Services</t>
  </si>
  <si>
    <t>Building Occupancy Indirects</t>
  </si>
  <si>
    <t>Building Occupancy Payments to DMB</t>
  </si>
  <si>
    <t>Attorney General Fees</t>
  </si>
  <si>
    <t>Supplies &amp; Materials  (11)</t>
  </si>
  <si>
    <t>Dues</t>
  </si>
  <si>
    <t>Subscriptions</t>
  </si>
  <si>
    <t>Postage</t>
  </si>
  <si>
    <t>Office Supplies &amp; Printed Matter</t>
  </si>
  <si>
    <t xml:space="preserve">Office Supplies </t>
  </si>
  <si>
    <t>Printing, Non-DMB</t>
  </si>
  <si>
    <t>Miscellaneous Supplies</t>
  </si>
  <si>
    <t>Freedom of Information</t>
  </si>
  <si>
    <t>Procurement Card Purch</t>
  </si>
  <si>
    <t>Equipment  (12)</t>
  </si>
  <si>
    <t>Equip Non Capitalize Purch Less than $5,000</t>
  </si>
  <si>
    <t>Equipment Lease &amp; Rental Pmts</t>
  </si>
  <si>
    <t>Movable Partitions</t>
  </si>
  <si>
    <t>Grants (13)</t>
  </si>
  <si>
    <t>Pmts to Individuals and Private Groups</t>
  </si>
  <si>
    <t>Fiscal and Interest Payments (14)</t>
  </si>
  <si>
    <t>Miscellaneous (15)</t>
  </si>
  <si>
    <t>Legal Services and Settlement (16)</t>
  </si>
  <si>
    <t>Cost Allocations (17)</t>
  </si>
  <si>
    <t>Charges From DIT (18)</t>
  </si>
  <si>
    <t>Purchased Services:  Information Tech</t>
  </si>
  <si>
    <t>Indirect Salaries (22)</t>
  </si>
  <si>
    <t>Movement of Indirect Salaries</t>
  </si>
  <si>
    <t>TOTALS</t>
  </si>
  <si>
    <t>Trav Exp Out of State Non-Emp Nonrep</t>
  </si>
  <si>
    <t>0738</t>
  </si>
  <si>
    <t>Hotel-GRP Lodging (Dir Bill) In State 1099</t>
  </si>
  <si>
    <t>Travel Exp Reim Non-Employee Nonreport</t>
  </si>
  <si>
    <t>Utilities- Gas</t>
  </si>
  <si>
    <t>Utilities-Water</t>
  </si>
  <si>
    <t>Other Purch Svs-Laundry</t>
  </si>
  <si>
    <t>Other Fees &amp; Comp-Witness Fees</t>
  </si>
  <si>
    <t>Maintenance Services - Equipment Repairs</t>
  </si>
  <si>
    <t>Non-State Ownded Bldg Rental or Lease</t>
  </si>
  <si>
    <t>Consulting Services (10)</t>
  </si>
  <si>
    <t>Consulting Svs - Non State Employees</t>
  </si>
  <si>
    <t>Food and Beverages</t>
  </si>
  <si>
    <t>Fuel-Liquid Propane</t>
  </si>
  <si>
    <t>Replacement Parts</t>
  </si>
  <si>
    <t>License/Certifications</t>
  </si>
  <si>
    <t>Equip Capitalize Purch $5,000 or Greater</t>
  </si>
  <si>
    <t>Payments on Behalf of Individuals</t>
  </si>
  <si>
    <t>Common Cash Interest Expense</t>
  </si>
  <si>
    <t>Educational Assistance Pymt-Nontax-Empl</t>
  </si>
  <si>
    <t>Court Judgement/Settlements-1099 Report</t>
  </si>
  <si>
    <t>ARF-Fringes Debits and Credits</t>
  </si>
  <si>
    <t>ARF Travel Debits and Credits</t>
  </si>
  <si>
    <t>ARF-Salary Debits and Credits</t>
  </si>
  <si>
    <t>ARF Debits and Credits</t>
  </si>
  <si>
    <t>Client Services and BEP (21)</t>
  </si>
  <si>
    <t>VR - Other Purchases Servs (1099 Report)</t>
  </si>
  <si>
    <t>VR - Freight Cafeteria</t>
  </si>
  <si>
    <t>BEP - Freight VM</t>
  </si>
  <si>
    <t>BEP - Equipment Transfers OL</t>
  </si>
  <si>
    <t>BEP - Equipment Transfers Cafeteria</t>
  </si>
  <si>
    <t>BEP - Equipment Transfers VM</t>
  </si>
  <si>
    <t>BEP - Other Fees/Comp For Training</t>
  </si>
  <si>
    <t>VR - School Food and Beverages</t>
  </si>
  <si>
    <t>BEP - Maintenance Serv's Labor Cafeteria</t>
  </si>
  <si>
    <t>BEP - Maintenance Services Labor VM</t>
  </si>
  <si>
    <t>BEP - Replacement Parts Cafeteria</t>
  </si>
  <si>
    <t>BEP - Replacement Parts VM</t>
  </si>
  <si>
    <t>BEP - Food and Beverage - Replenish</t>
  </si>
  <si>
    <t>BEP - Food and Beverage - Expansion</t>
  </si>
  <si>
    <t>BEP - Food and Beverage - Loss</t>
  </si>
  <si>
    <t>VR - Payments on Behalf of Individuals</t>
  </si>
  <si>
    <t>BEP - Travel/Service Calls OL</t>
  </si>
  <si>
    <t>BEP - Travel/Service Calls Cafeteria</t>
  </si>
  <si>
    <t>VR - Pmts to Individuals and Private Grps</t>
  </si>
  <si>
    <t>BEP - Travel/Service Calls VM</t>
  </si>
  <si>
    <t>Medical Equipment</t>
  </si>
  <si>
    <t>Medical Expenses</t>
  </si>
  <si>
    <t>Purchased Hlth Related Svs-1099 Report</t>
  </si>
  <si>
    <t>Other Fees &amp; Comp-Inspects/investigation</t>
  </si>
  <si>
    <t>Payments to Univ (Big 3 or Quasi Extrnl)</t>
  </si>
  <si>
    <t>Unemployment Insurance Claims</t>
  </si>
  <si>
    <t>Other Common Carrier - In State</t>
  </si>
  <si>
    <t>Cash Transfer Expenditure Credit</t>
  </si>
  <si>
    <t>Was Sally Postal  C-47#1170</t>
  </si>
  <si>
    <t>Supplemental Pension Payments</t>
  </si>
  <si>
    <t>Conferences and Seminars, Out of State</t>
  </si>
  <si>
    <t>Workers Compensation - Program Line</t>
  </si>
  <si>
    <t>Maintenance Supplies</t>
  </si>
  <si>
    <t>Mon-Tax Employee Exp Reim - Out of State</t>
  </si>
  <si>
    <t>$4,929.51 each month</t>
  </si>
  <si>
    <t xml:space="preserve">  Travel</t>
  </si>
  <si>
    <t xml:space="preserve">  Legal Services and Settlements</t>
  </si>
  <si>
    <t>Donations</t>
  </si>
  <si>
    <t>BEP Retirement</t>
  </si>
  <si>
    <t>5/11</t>
  </si>
  <si>
    <t>Was Sue Anderson Part time Escanaba Office  C-47#1591</t>
  </si>
  <si>
    <t>Was Sue Anderson Part time Gaylord Office  C-47#1590</t>
  </si>
  <si>
    <t>Monthly Change to Liquor Inventory</t>
  </si>
  <si>
    <r>
      <t xml:space="preserve">Secretary 8    </t>
    </r>
    <r>
      <rPr>
        <b/>
        <i/>
        <sz val="12"/>
        <rFont val="Arial"/>
        <family val="2"/>
      </rPr>
      <t xml:space="preserve"> ON HOLD</t>
    </r>
  </si>
  <si>
    <r>
      <t xml:space="preserve">General Office Assistant     </t>
    </r>
    <r>
      <rPr>
        <b/>
        <i/>
        <sz val="12"/>
        <rFont val="Arial"/>
        <family val="2"/>
      </rPr>
      <t xml:space="preserve"> ON HOLD</t>
    </r>
  </si>
  <si>
    <t>Per Shirley's worksheet</t>
  </si>
  <si>
    <t>August 2011</t>
  </si>
  <si>
    <t>Oct-August</t>
  </si>
  <si>
    <t>Projection of MCB Expenses - Overall</t>
  </si>
  <si>
    <t>Penalty Payment P.A. 279 of 1984</t>
  </si>
  <si>
    <t>Medical Equipment No Wage Loss</t>
  </si>
  <si>
    <t>FY 11</t>
  </si>
  <si>
    <t>FY 2012 Financial Report - November</t>
  </si>
  <si>
    <t xml:space="preserve"> YTD thru November 2011</t>
  </si>
  <si>
    <t xml:space="preserve">  OPEB funding increase</t>
  </si>
  <si>
    <t xml:space="preserve">Secretary 8   </t>
  </si>
  <si>
    <t>S. Oberlin</t>
  </si>
  <si>
    <t>Librarian 9/10/P11</t>
  </si>
  <si>
    <t>Was W. Flournoy c-47 #2067</t>
  </si>
  <si>
    <t>Blind Rehabilitation Instructor P11</t>
  </si>
  <si>
    <t>Was S. Toda c-47 #1611</t>
  </si>
  <si>
    <t>Was C. Alexander c-47 #1660</t>
  </si>
  <si>
    <t>Voc Rehab Manager 15</t>
  </si>
  <si>
    <t>Was B. Kramer c-47 #2180</t>
  </si>
  <si>
    <t>Exec Sec E10</t>
  </si>
  <si>
    <t>Was C. Moss c-47 #2310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</si>
</sst>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0.0"/>
    <numFmt numFmtId="166" formatCode="0.0%"/>
    <numFmt numFmtId="167" formatCode="#,##0.0_);\(#,##0.0\)"/>
    <numFmt numFmtId="168" formatCode="mm/dd/yy"/>
    <numFmt numFmtId="169" formatCode="m/d/yy"/>
    <numFmt numFmtId="170" formatCode="0_);\(0\)"/>
    <numFmt numFmtId="171" formatCode="m/d/yy;@"/>
    <numFmt numFmtId="172" formatCode="mm/dd/yy_)"/>
    <numFmt numFmtId="173" formatCode="0.0_);\(0.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</numFmts>
  <fonts count="10">
    <font>
      <sz val="12"/>
      <name val="Arial"/>
      <family val="0"/>
    </font>
    <font>
      <b/>
      <sz val="12"/>
      <color indexed="8"/>
      <name val="Arial"/>
      <family val="0"/>
    </font>
    <font>
      <b/>
      <sz val="14"/>
      <color indexed="8"/>
      <name val="Arial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u val="single"/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>
        <color indexed="8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5">
    <xf numFmtId="164" fontId="0" fillId="2" borderId="0">
      <alignment/>
      <protection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>
      <alignment/>
      <protection/>
    </xf>
    <xf numFmtId="0" fontId="0" fillId="2" borderId="0">
      <alignment/>
      <protection/>
    </xf>
    <xf numFmtId="0" fontId="0" fillId="0" borderId="0">
      <alignment/>
      <protection/>
    </xf>
    <xf numFmtId="9" fontId="8" fillId="0" borderId="0" applyFont="0" applyFill="0" applyBorder="0" applyAlignment="0" applyProtection="0"/>
  </cellStyleXfs>
  <cellXfs count="183">
    <xf numFmtId="164" fontId="0" fillId="2" borderId="0" xfId="0" applyNumberFormat="1" applyAlignment="1">
      <alignment/>
    </xf>
    <xf numFmtId="37" fontId="0" fillId="2" borderId="0" xfId="0" applyNumberFormat="1" applyAlignment="1">
      <alignment/>
    </xf>
    <xf numFmtId="166" fontId="0" fillId="2" borderId="0" xfId="0" applyNumberFormat="1" applyAlignment="1">
      <alignment/>
    </xf>
    <xf numFmtId="0" fontId="0" fillId="2" borderId="0" xfId="22" applyNumberFormat="1">
      <alignment/>
      <protection/>
    </xf>
    <xf numFmtId="164" fontId="1" fillId="3" borderId="1" xfId="0" applyNumberFormat="1" applyFont="1" applyFill="1" applyBorder="1" applyAlignment="1">
      <alignment horizontal="centerContinuous"/>
    </xf>
    <xf numFmtId="164" fontId="1" fillId="3" borderId="2" xfId="0" applyNumberFormat="1" applyFont="1" applyFill="1" applyBorder="1" applyAlignment="1">
      <alignment horizontal="centerContinuous"/>
    </xf>
    <xf numFmtId="164" fontId="1" fillId="3" borderId="3" xfId="0" applyNumberFormat="1" applyFont="1" applyFill="1" applyBorder="1" applyAlignment="1">
      <alignment horizontal="centerContinuous"/>
    </xf>
    <xf numFmtId="164" fontId="1" fillId="3" borderId="4" xfId="0" applyNumberFormat="1" applyFont="1" applyFill="1" applyBorder="1" applyAlignment="1">
      <alignment horizontal="centerContinuous"/>
    </xf>
    <xf numFmtId="164" fontId="1" fillId="3" borderId="5" xfId="0" applyNumberFormat="1" applyFont="1" applyFill="1" applyBorder="1" applyAlignment="1">
      <alignment horizontal="centerContinuous"/>
    </xf>
    <xf numFmtId="164" fontId="1" fillId="3" borderId="6" xfId="0" applyNumberFormat="1" applyFont="1" applyFill="1" applyBorder="1" applyAlignment="1">
      <alignment horizontal="centerContinuous"/>
    </xf>
    <xf numFmtId="164" fontId="1" fillId="3" borderId="7" xfId="0" applyNumberFormat="1" applyFont="1" applyFill="1" applyBorder="1" applyAlignment="1">
      <alignment horizontal="centerContinuous"/>
    </xf>
    <xf numFmtId="164" fontId="1" fillId="3" borderId="8" xfId="0" applyNumberFormat="1" applyFont="1" applyFill="1" applyBorder="1" applyAlignment="1">
      <alignment horizontal="centerContinuous"/>
    </xf>
    <xf numFmtId="0" fontId="1" fillId="2" borderId="0" xfId="21" applyNumberFormat="1" applyFont="1" applyAlignment="1">
      <alignment horizontal="left"/>
      <protection/>
    </xf>
    <xf numFmtId="3" fontId="0" fillId="2" borderId="0" xfId="0" applyNumberFormat="1" applyAlignment="1">
      <alignment/>
    </xf>
    <xf numFmtId="164" fontId="1" fillId="0" borderId="0" xfId="0" applyNumberFormat="1" applyFont="1" applyFill="1" applyAlignment="1">
      <alignment horizontal="centerContinuous"/>
    </xf>
    <xf numFmtId="164" fontId="2" fillId="0" borderId="0" xfId="0" applyNumberFormat="1" applyFont="1" applyFill="1" applyAlignment="1">
      <alignment horizontal="centerContinuous"/>
    </xf>
    <xf numFmtId="164" fontId="1" fillId="0" borderId="1" xfId="0" applyNumberFormat="1" applyFont="1" applyFill="1" applyBorder="1" applyAlignment="1">
      <alignment horizontal="centerContinuous"/>
    </xf>
    <xf numFmtId="164" fontId="0" fillId="0" borderId="0" xfId="0" applyNumberFormat="1" applyFill="1" applyAlignment="1">
      <alignment horizontal="centerContinuous"/>
    </xf>
    <xf numFmtId="164" fontId="1" fillId="0" borderId="4" xfId="0" applyNumberFormat="1" applyFont="1" applyFill="1" applyBorder="1" applyAlignment="1">
      <alignment horizontal="centerContinuous"/>
    </xf>
    <xf numFmtId="164" fontId="0" fillId="0" borderId="0" xfId="0" applyNumberFormat="1" applyFill="1" applyAlignment="1">
      <alignment/>
    </xf>
    <xf numFmtId="164" fontId="1" fillId="0" borderId="9" xfId="0" applyNumberFormat="1" applyFont="1" applyFill="1" applyBorder="1" applyAlignment="1">
      <alignment horizontal="centerContinuous"/>
    </xf>
    <xf numFmtId="164" fontId="0" fillId="0" borderId="10" xfId="0" applyNumberFormat="1" applyFill="1" applyBorder="1" applyAlignment="1">
      <alignment horizontal="centerContinuous"/>
    </xf>
    <xf numFmtId="164" fontId="0" fillId="0" borderId="11" xfId="0" applyNumberFormat="1" applyFill="1" applyBorder="1" applyAlignment="1">
      <alignment horizontal="centerContinuous"/>
    </xf>
    <xf numFmtId="164" fontId="0" fillId="0" borderId="3" xfId="0" applyNumberFormat="1" applyFill="1" applyBorder="1" applyAlignment="1">
      <alignment horizontal="center"/>
    </xf>
    <xf numFmtId="165" fontId="0" fillId="0" borderId="5" xfId="0" applyNumberFormat="1" applyFill="1" applyBorder="1" applyAlignment="1">
      <alignment/>
    </xf>
    <xf numFmtId="164" fontId="0" fillId="0" borderId="4" xfId="0" applyNumberFormat="1" applyFill="1" applyBorder="1" applyAlignment="1">
      <alignment/>
    </xf>
    <xf numFmtId="165" fontId="0" fillId="0" borderId="0" xfId="0" applyNumberFormat="1" applyFill="1" applyAlignment="1">
      <alignment/>
    </xf>
    <xf numFmtId="164" fontId="0" fillId="0" borderId="5" xfId="0" applyNumberFormat="1" applyFill="1" applyBorder="1" applyAlignment="1">
      <alignment/>
    </xf>
    <xf numFmtId="164" fontId="0" fillId="0" borderId="12" xfId="0" applyNumberFormat="1" applyFill="1" applyBorder="1" applyAlignment="1">
      <alignment/>
    </xf>
    <xf numFmtId="164" fontId="1" fillId="0" borderId="13" xfId="0" applyNumberFormat="1" applyFont="1" applyFill="1" applyBorder="1" applyAlignment="1">
      <alignment horizontal="center"/>
    </xf>
    <xf numFmtId="164" fontId="0" fillId="0" borderId="14" xfId="0" applyNumberFormat="1" applyFill="1" applyBorder="1" applyAlignment="1">
      <alignment/>
    </xf>
    <xf numFmtId="164" fontId="1" fillId="0" borderId="13" xfId="0" applyNumberFormat="1" applyFont="1" applyFill="1" applyBorder="1" applyAlignment="1">
      <alignment horizontal="centerContinuous"/>
    </xf>
    <xf numFmtId="164" fontId="0" fillId="0" borderId="2" xfId="0" applyNumberFormat="1" applyFill="1" applyBorder="1" applyAlignment="1">
      <alignment horizontal="centerContinuous"/>
    </xf>
    <xf numFmtId="164" fontId="0" fillId="0" borderId="13" xfId="0" applyNumberFormat="1" applyFill="1" applyBorder="1" applyAlignment="1">
      <alignment horizontal="centerContinuous"/>
    </xf>
    <xf numFmtId="164" fontId="0" fillId="0" borderId="3" xfId="0" applyNumberFormat="1" applyFill="1" applyBorder="1" applyAlignment="1">
      <alignment horizontal="centerContinuous"/>
    </xf>
    <xf numFmtId="164" fontId="0" fillId="0" borderId="15" xfId="0" applyNumberFormat="1" applyFill="1" applyBorder="1" applyAlignment="1">
      <alignment/>
    </xf>
    <xf numFmtId="164" fontId="0" fillId="0" borderId="16" xfId="0" applyNumberFormat="1" applyFill="1" applyBorder="1" applyAlignment="1">
      <alignment/>
    </xf>
    <xf numFmtId="164" fontId="0" fillId="0" borderId="15" xfId="0" applyNumberFormat="1" applyFill="1" applyBorder="1" applyAlignment="1">
      <alignment horizontal="center"/>
    </xf>
    <xf numFmtId="164" fontId="0" fillId="0" borderId="17" xfId="0" applyNumberFormat="1" applyFill="1" applyBorder="1" applyAlignment="1">
      <alignment horizontal="centerContinuous"/>
    </xf>
    <xf numFmtId="164" fontId="0" fillId="0" borderId="18" xfId="0" applyNumberFormat="1" applyFill="1" applyBorder="1" applyAlignment="1">
      <alignment horizontal="centerContinuous"/>
    </xf>
    <xf numFmtId="164" fontId="0" fillId="0" borderId="16" xfId="0" applyNumberFormat="1" applyFill="1" applyBorder="1" applyAlignment="1">
      <alignment horizontal="centerContinuous"/>
    </xf>
    <xf numFmtId="164" fontId="0" fillId="0" borderId="19" xfId="0" applyNumberFormat="1" applyFill="1" applyBorder="1" applyAlignment="1">
      <alignment/>
    </xf>
    <xf numFmtId="164" fontId="0" fillId="0" borderId="20" xfId="0" applyNumberFormat="1" applyFill="1" applyBorder="1" applyAlignment="1">
      <alignment/>
    </xf>
    <xf numFmtId="164" fontId="0" fillId="0" borderId="21" xfId="0" applyNumberFormat="1" applyFill="1" applyBorder="1" applyAlignment="1">
      <alignment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164" fontId="0" fillId="0" borderId="24" xfId="0" applyNumberForma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164" fontId="0" fillId="0" borderId="26" xfId="0" applyNumberFormat="1" applyFill="1" applyBorder="1" applyAlignment="1">
      <alignment horizontal="center"/>
    </xf>
    <xf numFmtId="164" fontId="0" fillId="0" borderId="27" xfId="0" applyNumberFormat="1" applyFill="1" applyBorder="1" applyAlignment="1">
      <alignment horizontal="center"/>
    </xf>
    <xf numFmtId="164" fontId="1" fillId="0" borderId="22" xfId="0" applyNumberFormat="1" applyFont="1" applyFill="1" applyBorder="1" applyAlignment="1">
      <alignment/>
    </xf>
    <xf numFmtId="37" fontId="0" fillId="0" borderId="28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5" xfId="0" applyNumberFormat="1" applyFill="1" applyBorder="1" applyAlignment="1">
      <alignment/>
    </xf>
    <xf numFmtId="164" fontId="0" fillId="0" borderId="23" xfId="0" applyNumberFormat="1" applyFill="1" applyBorder="1" applyAlignment="1">
      <alignment/>
    </xf>
    <xf numFmtId="164" fontId="0" fillId="0" borderId="22" xfId="0" applyNumberFormat="1" applyFill="1" applyBorder="1" applyAlignment="1">
      <alignment/>
    </xf>
    <xf numFmtId="164" fontId="1" fillId="0" borderId="26" xfId="0" applyNumberFormat="1" applyFont="1" applyFill="1" applyBorder="1" applyAlignment="1">
      <alignment/>
    </xf>
    <xf numFmtId="37" fontId="0" fillId="0" borderId="29" xfId="0" applyNumberFormat="1" applyFill="1" applyBorder="1" applyAlignment="1">
      <alignment/>
    </xf>
    <xf numFmtId="37" fontId="0" fillId="0" borderId="25" xfId="0" applyNumberFormat="1" applyFill="1" applyBorder="1" applyAlignment="1">
      <alignment/>
    </xf>
    <xf numFmtId="37" fontId="0" fillId="0" borderId="30" xfId="0" applyNumberFormat="1" applyFill="1" applyBorder="1" applyAlignment="1">
      <alignment/>
    </xf>
    <xf numFmtId="164" fontId="0" fillId="0" borderId="25" xfId="0" applyNumberFormat="1" applyFill="1" applyBorder="1" applyAlignment="1">
      <alignment/>
    </xf>
    <xf numFmtId="164" fontId="0" fillId="0" borderId="30" xfId="0" applyNumberFormat="1" applyFill="1" applyBorder="1" applyAlignment="1">
      <alignment/>
    </xf>
    <xf numFmtId="164" fontId="0" fillId="0" borderId="27" xfId="0" applyNumberFormat="1" applyFill="1" applyBorder="1" applyAlignment="1">
      <alignment/>
    </xf>
    <xf numFmtId="37" fontId="0" fillId="0" borderId="4" xfId="0" applyNumberFormat="1" applyFill="1" applyBorder="1" applyAlignment="1">
      <alignment/>
    </xf>
    <xf numFmtId="166" fontId="0" fillId="0" borderId="0" xfId="0" applyNumberFormat="1" applyFill="1" applyAlignment="1">
      <alignment/>
    </xf>
    <xf numFmtId="166" fontId="0" fillId="0" borderId="23" xfId="0" applyNumberFormat="1" applyFill="1" applyBorder="1" applyAlignment="1">
      <alignment/>
    </xf>
    <xf numFmtId="37" fontId="0" fillId="0" borderId="23" xfId="0" applyNumberFormat="1" applyFill="1" applyBorder="1" applyAlignment="1">
      <alignment/>
    </xf>
    <xf numFmtId="37" fontId="0" fillId="0" borderId="7" xfId="0" applyNumberFormat="1" applyFill="1" applyBorder="1" applyAlignment="1">
      <alignment/>
    </xf>
    <xf numFmtId="37" fontId="0" fillId="0" borderId="8" xfId="0" applyNumberFormat="1" applyFill="1" applyBorder="1" applyAlignment="1">
      <alignment/>
    </xf>
    <xf numFmtId="37" fontId="1" fillId="0" borderId="0" xfId="0" applyNumberFormat="1" applyFont="1" applyFill="1" applyAlignment="1">
      <alignment/>
    </xf>
    <xf numFmtId="164" fontId="0" fillId="0" borderId="31" xfId="0" applyNumberFormat="1" applyFill="1" applyBorder="1" applyAlignment="1">
      <alignment/>
    </xf>
    <xf numFmtId="37" fontId="0" fillId="0" borderId="32" xfId="0" applyNumberFormat="1" applyFill="1" applyBorder="1" applyAlignment="1">
      <alignment/>
    </xf>
    <xf numFmtId="164" fontId="0" fillId="0" borderId="0" xfId="0" applyNumberFormat="1" applyFill="1" applyAlignment="1">
      <alignment horizontal="right"/>
    </xf>
    <xf numFmtId="37" fontId="0" fillId="0" borderId="2" xfId="0" applyNumberFormat="1" applyFill="1" applyBorder="1" applyAlignment="1">
      <alignment/>
    </xf>
    <xf numFmtId="37" fontId="0" fillId="0" borderId="16" xfId="0" applyNumberFormat="1" applyFill="1" applyBorder="1" applyAlignment="1">
      <alignment/>
    </xf>
    <xf numFmtId="37" fontId="0" fillId="0" borderId="20" xfId="0" applyNumberFormat="1" applyFill="1" applyBorder="1" applyAlignment="1">
      <alignment/>
    </xf>
    <xf numFmtId="37" fontId="0" fillId="0" borderId="13" xfId="0" applyNumberFormat="1" applyFill="1" applyBorder="1" applyAlignment="1">
      <alignment/>
    </xf>
    <xf numFmtId="37" fontId="0" fillId="0" borderId="33" xfId="0" applyNumberFormat="1" applyFill="1" applyBorder="1" applyAlignment="1">
      <alignment/>
    </xf>
    <xf numFmtId="164" fontId="1" fillId="3" borderId="0" xfId="0" applyNumberFormat="1" applyFont="1" applyFill="1" applyBorder="1" applyAlignment="1">
      <alignment horizontal="centerContinuous"/>
    </xf>
    <xf numFmtId="164" fontId="0" fillId="0" borderId="34" xfId="0" applyNumberFormat="1" applyFill="1" applyBorder="1" applyAlignment="1">
      <alignment/>
    </xf>
    <xf numFmtId="37" fontId="0" fillId="0" borderId="27" xfId="0" applyNumberFormat="1" applyFill="1" applyBorder="1" applyAlignment="1">
      <alignment/>
    </xf>
    <xf numFmtId="0" fontId="0" fillId="0" borderId="0" xfId="22" applyNumberFormat="1" applyFont="1" applyFill="1">
      <alignment/>
      <protection/>
    </xf>
    <xf numFmtId="39" fontId="0" fillId="0" borderId="0" xfId="22" applyNumberFormat="1" applyFont="1" applyFill="1">
      <alignment/>
      <protection/>
    </xf>
    <xf numFmtId="167" fontId="0" fillId="0" borderId="0" xfId="22" applyNumberFormat="1" applyFont="1" applyFill="1">
      <alignment/>
      <protection/>
    </xf>
    <xf numFmtId="0" fontId="0" fillId="0" borderId="0" xfId="22" applyNumberFormat="1" applyFont="1" applyFill="1" applyAlignment="1">
      <alignment horizontal="center"/>
      <protection/>
    </xf>
    <xf numFmtId="39" fontId="3" fillId="0" borderId="0" xfId="22" applyNumberFormat="1" applyFont="1" applyFill="1">
      <alignment/>
      <protection/>
    </xf>
    <xf numFmtId="39" fontId="4" fillId="0" borderId="0" xfId="22" applyNumberFormat="1" applyFont="1" applyFill="1">
      <alignment/>
      <protection/>
    </xf>
    <xf numFmtId="39" fontId="0" fillId="0" borderId="7" xfId="22" applyNumberFormat="1" applyFont="1" applyFill="1" applyBorder="1">
      <alignment/>
      <protection/>
    </xf>
    <xf numFmtId="0" fontId="1" fillId="0" borderId="0" xfId="22" applyNumberFormat="1" applyFont="1" applyFill="1">
      <alignment/>
      <protection/>
    </xf>
    <xf numFmtId="167" fontId="0" fillId="0" borderId="0" xfId="22" applyNumberFormat="1" applyFont="1" applyFill="1" applyAlignment="1">
      <alignment horizontal="center"/>
      <protection/>
    </xf>
    <xf numFmtId="39" fontId="0" fillId="0" borderId="0" xfId="22" applyNumberFormat="1" applyFont="1" applyFill="1" applyAlignment="1">
      <alignment horizontal="center"/>
      <protection/>
    </xf>
    <xf numFmtId="168" fontId="0" fillId="0" borderId="0" xfId="22" applyNumberFormat="1" applyFont="1" applyFill="1">
      <alignment/>
      <protection/>
    </xf>
    <xf numFmtId="0" fontId="0" fillId="0" borderId="0" xfId="22" applyNumberFormat="1" applyFont="1" applyFill="1" applyAlignment="1">
      <alignment horizontal="centerContinuous" wrapText="1"/>
      <protection/>
    </xf>
    <xf numFmtId="167" fontId="0" fillId="0" borderId="0" xfId="22" applyNumberFormat="1" applyFont="1" applyFill="1" applyAlignment="1">
      <alignment horizontal="centerContinuous" wrapText="1"/>
      <protection/>
    </xf>
    <xf numFmtId="0" fontId="4" fillId="0" borderId="0" xfId="22" applyNumberFormat="1" applyFont="1" applyFill="1" applyAlignment="1">
      <alignment horizontal="centerContinuous" wrapText="1"/>
      <protection/>
    </xf>
    <xf numFmtId="4" fontId="0" fillId="0" borderId="0" xfId="22" applyNumberFormat="1" applyFont="1" applyFill="1">
      <alignment/>
      <protection/>
    </xf>
    <xf numFmtId="2" fontId="0" fillId="0" borderId="0" xfId="22" applyNumberFormat="1" applyFont="1" applyFill="1">
      <alignment/>
      <protection/>
    </xf>
    <xf numFmtId="39" fontId="1" fillId="0" borderId="0" xfId="22" applyNumberFormat="1" applyFont="1" applyFill="1">
      <alignment/>
      <protection/>
    </xf>
    <xf numFmtId="167" fontId="1" fillId="0" borderId="0" xfId="22" applyNumberFormat="1" applyFont="1" applyFill="1">
      <alignment/>
      <protection/>
    </xf>
    <xf numFmtId="39" fontId="1" fillId="0" borderId="35" xfId="22" applyNumberFormat="1" applyFont="1" applyFill="1" applyBorder="1">
      <alignment/>
      <protection/>
    </xf>
    <xf numFmtId="0" fontId="1" fillId="0" borderId="0" xfId="22" applyNumberFormat="1" applyFont="1" applyFill="1" applyAlignment="1">
      <alignment horizontal="left"/>
      <protection/>
    </xf>
    <xf numFmtId="0" fontId="0" fillId="0" borderId="0" xfId="22" applyNumberFormat="1" applyFont="1" applyFill="1" applyAlignment="1">
      <alignment horizontal="centerContinuous"/>
      <protection/>
    </xf>
    <xf numFmtId="0" fontId="1" fillId="0" borderId="0" xfId="22" applyNumberFormat="1" applyFont="1" applyFill="1" applyAlignment="1">
      <alignment horizontal="center"/>
      <protection/>
    </xf>
    <xf numFmtId="0" fontId="1" fillId="0" borderId="0" xfId="22" applyNumberFormat="1" applyFont="1" applyFill="1" applyAlignment="1">
      <alignment horizontal="centerContinuous"/>
      <protection/>
    </xf>
    <xf numFmtId="39" fontId="1" fillId="0" borderId="0" xfId="22" applyNumberFormat="1" applyFont="1" applyFill="1" applyAlignment="1">
      <alignment horizontal="centerContinuous"/>
      <protection/>
    </xf>
    <xf numFmtId="167" fontId="0" fillId="0" borderId="0" xfId="22" applyNumberFormat="1" applyFont="1" applyFill="1" applyAlignment="1">
      <alignment horizontal="centerContinuous"/>
      <protection/>
    </xf>
    <xf numFmtId="0" fontId="0" fillId="0" borderId="0" xfId="22" applyNumberFormat="1" applyFill="1">
      <alignment/>
      <protection/>
    </xf>
    <xf numFmtId="164" fontId="0" fillId="0" borderId="34" xfId="0" applyNumberFormat="1" applyFill="1" applyBorder="1" applyAlignment="1">
      <alignment horizontal="left"/>
    </xf>
    <xf numFmtId="37" fontId="0" fillId="0" borderId="0" xfId="0" applyNumberFormat="1" applyFill="1" applyBorder="1" applyAlignment="1">
      <alignment/>
    </xf>
    <xf numFmtId="37" fontId="0" fillId="0" borderId="36" xfId="0" applyNumberFormat="1" applyFill="1" applyBorder="1" applyAlignment="1">
      <alignment/>
    </xf>
    <xf numFmtId="37" fontId="0" fillId="0" borderId="37" xfId="0" applyNumberFormat="1" applyFill="1" applyBorder="1" applyAlignment="1">
      <alignment/>
    </xf>
    <xf numFmtId="1" fontId="0" fillId="0" borderId="5" xfId="0" applyNumberFormat="1" applyFill="1" applyBorder="1" applyAlignment="1" quotePrefix="1">
      <alignment horizontal="right"/>
    </xf>
    <xf numFmtId="37" fontId="3" fillId="0" borderId="0" xfId="0" applyNumberFormat="1" applyFont="1" applyFill="1" applyAlignment="1">
      <alignment horizontal="left"/>
    </xf>
    <xf numFmtId="167" fontId="0" fillId="0" borderId="0" xfId="0" applyNumberFormat="1" applyFont="1" applyFill="1" applyBorder="1" applyAlignment="1">
      <alignment horizontal="center"/>
    </xf>
    <xf numFmtId="0" fontId="3" fillId="0" borderId="0" xfId="22" applyNumberFormat="1" applyFont="1" applyFill="1">
      <alignment/>
      <protection/>
    </xf>
    <xf numFmtId="4" fontId="0" fillId="0" borderId="0" xfId="22" applyNumberFormat="1" applyFont="1" applyFill="1" applyAlignment="1">
      <alignment horizontal="center"/>
      <protection/>
    </xf>
    <xf numFmtId="39" fontId="0" fillId="0" borderId="0" xfId="22" applyNumberFormat="1" applyFont="1" applyFill="1" applyBorder="1">
      <alignment/>
      <protection/>
    </xf>
    <xf numFmtId="39" fontId="0" fillId="0" borderId="38" xfId="22" applyNumberFormat="1" applyFont="1" applyFill="1" applyBorder="1">
      <alignment/>
      <protection/>
    </xf>
    <xf numFmtId="166" fontId="0" fillId="0" borderId="25" xfId="0" applyNumberFormat="1" applyFill="1" applyBorder="1" applyAlignment="1">
      <alignment/>
    </xf>
    <xf numFmtId="37" fontId="0" fillId="0" borderId="39" xfId="0" applyNumberFormat="1" applyFill="1" applyBorder="1" applyAlignment="1">
      <alignment/>
    </xf>
    <xf numFmtId="164" fontId="0" fillId="2" borderId="0" xfId="0" applyNumberFormat="1" applyAlignment="1">
      <alignment/>
    </xf>
    <xf numFmtId="164" fontId="0" fillId="0" borderId="40" xfId="0" applyNumberFormat="1" applyFill="1" applyBorder="1" applyAlignment="1">
      <alignment/>
    </xf>
    <xf numFmtId="171" fontId="0" fillId="0" borderId="0" xfId="22" applyNumberFormat="1" applyFont="1" applyFill="1" quotePrefix="1">
      <alignment/>
      <protection/>
    </xf>
    <xf numFmtId="0" fontId="7" fillId="0" borderId="0" xfId="22" applyNumberFormat="1" applyFont="1" applyFill="1">
      <alignment/>
      <protection/>
    </xf>
    <xf numFmtId="39" fontId="7" fillId="0" borderId="0" xfId="22" applyNumberFormat="1" applyFont="1" applyFill="1" applyAlignment="1">
      <alignment horizontal="center"/>
      <protection/>
    </xf>
    <xf numFmtId="0" fontId="7" fillId="0" borderId="0" xfId="22" applyNumberFormat="1" applyFont="1" applyFill="1" applyAlignment="1">
      <alignment horizontal="center"/>
      <protection/>
    </xf>
    <xf numFmtId="167" fontId="7" fillId="0" borderId="0" xfId="22" applyNumberFormat="1" applyFont="1" applyFill="1" applyAlignment="1">
      <alignment horizontal="center"/>
      <protection/>
    </xf>
    <xf numFmtId="164" fontId="0" fillId="2" borderId="0" xfId="0" applyNumberFormat="1" applyBorder="1" applyAlignment="1">
      <alignment/>
    </xf>
    <xf numFmtId="37" fontId="0" fillId="0" borderId="41" xfId="0" applyNumberFormat="1" applyFill="1" applyBorder="1" applyAlignment="1">
      <alignment/>
    </xf>
    <xf numFmtId="37" fontId="0" fillId="0" borderId="42" xfId="0" applyNumberFormat="1" applyFill="1" applyBorder="1" applyAlignment="1">
      <alignment/>
    </xf>
    <xf numFmtId="164" fontId="0" fillId="0" borderId="0" xfId="0" applyNumberFormat="1" applyFill="1" applyAlignment="1">
      <alignment horizontal="left" wrapText="1"/>
    </xf>
    <xf numFmtId="164" fontId="0" fillId="2" borderId="0" xfId="0" applyNumberFormat="1" applyAlignment="1">
      <alignment wrapText="1"/>
    </xf>
    <xf numFmtId="164" fontId="1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wrapText="1"/>
    </xf>
    <xf numFmtId="168" fontId="0" fillId="0" borderId="0" xfId="22" applyNumberFormat="1" applyFont="1" applyFill="1" quotePrefix="1">
      <alignment/>
      <protection/>
    </xf>
    <xf numFmtId="0" fontId="0" fillId="2" borderId="0" xfId="22" applyNumberFormat="1" applyFont="1">
      <alignment/>
      <protection/>
    </xf>
    <xf numFmtId="39" fontId="0" fillId="0" borderId="38" xfId="22" applyNumberFormat="1" applyFill="1" applyBorder="1">
      <alignment/>
      <protection/>
    </xf>
    <xf numFmtId="16" fontId="0" fillId="0" borderId="0" xfId="22" applyNumberFormat="1" applyFont="1" applyFill="1" quotePrefix="1">
      <alignment/>
      <protection/>
    </xf>
    <xf numFmtId="0" fontId="8" fillId="0" borderId="0" xfId="22" applyNumberFormat="1" applyFont="1" applyFill="1">
      <alignment/>
      <protection/>
    </xf>
    <xf numFmtId="39" fontId="0" fillId="0" borderId="0" xfId="22" applyNumberFormat="1" applyFont="1" applyFill="1" applyAlignment="1">
      <alignment horizontal="right"/>
      <protection/>
    </xf>
    <xf numFmtId="39" fontId="0" fillId="0" borderId="0" xfId="22" applyNumberFormat="1" applyFont="1" applyFill="1" applyBorder="1" applyAlignment="1">
      <alignment horizontal="right"/>
      <protection/>
    </xf>
    <xf numFmtId="37" fontId="0" fillId="4" borderId="43" xfId="23" applyNumberFormat="1" applyFill="1" applyBorder="1" applyProtection="1">
      <alignment/>
      <protection/>
    </xf>
    <xf numFmtId="0" fontId="3" fillId="0" borderId="0" xfId="23" applyFont="1" applyAlignment="1" applyProtection="1">
      <alignment horizontal="centerContinuous"/>
      <protection/>
    </xf>
    <xf numFmtId="0" fontId="0" fillId="0" borderId="0" xfId="23" applyAlignment="1" applyProtection="1">
      <alignment horizontal="centerContinuous"/>
      <protection/>
    </xf>
    <xf numFmtId="37" fontId="0" fillId="0" borderId="0" xfId="23" applyNumberFormat="1" applyAlignment="1" applyProtection="1">
      <alignment horizontal="centerContinuous"/>
      <protection/>
    </xf>
    <xf numFmtId="0" fontId="0" fillId="0" borderId="0" xfId="23">
      <alignment/>
      <protection/>
    </xf>
    <xf numFmtId="49" fontId="3" fillId="0" borderId="0" xfId="23" applyNumberFormat="1" applyFont="1" applyAlignment="1" applyProtection="1">
      <alignment horizontal="centerContinuous"/>
      <protection/>
    </xf>
    <xf numFmtId="0" fontId="3" fillId="0" borderId="0" xfId="23" applyFont="1" applyProtection="1">
      <alignment/>
      <protection/>
    </xf>
    <xf numFmtId="37" fontId="0" fillId="0" borderId="0" xfId="23" applyNumberFormat="1">
      <alignment/>
      <protection/>
    </xf>
    <xf numFmtId="0" fontId="0" fillId="0" borderId="0" xfId="23" applyProtection="1">
      <alignment/>
      <protection/>
    </xf>
    <xf numFmtId="37" fontId="3" fillId="0" borderId="0" xfId="23" applyNumberFormat="1" applyFont="1" applyAlignment="1" applyProtection="1">
      <alignment horizontal="centerContinuous"/>
      <protection/>
    </xf>
    <xf numFmtId="37" fontId="3" fillId="0" borderId="0" xfId="23" applyNumberFormat="1" applyFont="1" applyAlignment="1" applyProtection="1">
      <alignment horizontal="center"/>
      <protection/>
    </xf>
    <xf numFmtId="37" fontId="3" fillId="0" borderId="0" xfId="23" applyNumberFormat="1" applyFont="1" applyProtection="1">
      <alignment/>
      <protection/>
    </xf>
    <xf numFmtId="0" fontId="3" fillId="0" borderId="0" xfId="23" applyFont="1">
      <alignment/>
      <protection/>
    </xf>
    <xf numFmtId="37" fontId="3" fillId="0" borderId="0" xfId="23" applyNumberFormat="1" applyFont="1">
      <alignment/>
      <protection/>
    </xf>
    <xf numFmtId="0" fontId="0" fillId="0" borderId="0" xfId="23" applyFont="1">
      <alignment/>
      <protection/>
    </xf>
    <xf numFmtId="37" fontId="0" fillId="5" borderId="0" xfId="23" applyNumberFormat="1" applyFill="1" applyProtection="1">
      <alignment/>
      <protection/>
    </xf>
    <xf numFmtId="37" fontId="0" fillId="0" borderId="0" xfId="23" applyNumberFormat="1" applyProtection="1">
      <alignment/>
      <protection/>
    </xf>
    <xf numFmtId="37" fontId="0" fillId="4" borderId="0" xfId="23" applyNumberFormat="1" applyFill="1" applyProtection="1">
      <alignment/>
      <protection/>
    </xf>
    <xf numFmtId="37" fontId="0" fillId="2" borderId="0" xfId="23" applyNumberFormat="1" applyFill="1" applyProtection="1">
      <alignment/>
      <protection/>
    </xf>
    <xf numFmtId="37" fontId="0" fillId="0" borderId="7" xfId="23" applyNumberFormat="1" applyBorder="1" applyProtection="1">
      <alignment/>
      <protection/>
    </xf>
    <xf numFmtId="37" fontId="0" fillId="0" borderId="10" xfId="23" applyNumberFormat="1" applyBorder="1" applyProtection="1">
      <alignment/>
      <protection/>
    </xf>
    <xf numFmtId="37" fontId="0" fillId="0" borderId="0" xfId="23" applyNumberFormat="1" applyBorder="1" applyProtection="1">
      <alignment/>
      <protection/>
    </xf>
    <xf numFmtId="37" fontId="3" fillId="0" borderId="0" xfId="23" applyNumberFormat="1" applyFont="1" applyBorder="1" applyProtection="1">
      <alignment/>
      <protection/>
    </xf>
    <xf numFmtId="37" fontId="0" fillId="6" borderId="0" xfId="23" applyNumberFormat="1" applyFill="1" applyProtection="1">
      <alignment/>
      <protection/>
    </xf>
    <xf numFmtId="0" fontId="0" fillId="0" borderId="0" xfId="23" applyAlignment="1" applyProtection="1" quotePrefix="1">
      <alignment horizontal="right"/>
      <protection/>
    </xf>
    <xf numFmtId="0" fontId="3" fillId="0" borderId="0" xfId="23" applyFont="1" applyBorder="1">
      <alignment/>
      <protection/>
    </xf>
    <xf numFmtId="0" fontId="0" fillId="0" borderId="0" xfId="23" applyFont="1" applyProtection="1">
      <alignment/>
      <protection/>
    </xf>
    <xf numFmtId="0" fontId="0" fillId="0" borderId="0" xfId="23" applyFont="1" applyAlignment="1" applyProtection="1" quotePrefix="1">
      <alignment horizontal="right"/>
      <protection/>
    </xf>
    <xf numFmtId="37" fontId="0" fillId="0" borderId="43" xfId="23" applyNumberFormat="1" applyBorder="1" applyProtection="1">
      <alignment/>
      <protection/>
    </xf>
    <xf numFmtId="37" fontId="0" fillId="0" borderId="43" xfId="23" applyNumberFormat="1" applyBorder="1">
      <alignment/>
      <protection/>
    </xf>
    <xf numFmtId="37" fontId="0" fillId="0" borderId="36" xfId="23" applyNumberFormat="1" applyBorder="1" applyProtection="1">
      <alignment/>
      <protection/>
    </xf>
    <xf numFmtId="37" fontId="0" fillId="4" borderId="44" xfId="23" applyNumberFormat="1" applyFill="1" applyBorder="1" applyProtection="1">
      <alignment/>
      <protection/>
    </xf>
    <xf numFmtId="37" fontId="0" fillId="0" borderId="0" xfId="23" applyNumberFormat="1" applyFont="1" applyProtection="1">
      <alignment/>
      <protection/>
    </xf>
    <xf numFmtId="0" fontId="0" fillId="0" borderId="0" xfId="23" applyFont="1">
      <alignment/>
      <protection/>
    </xf>
    <xf numFmtId="38" fontId="0" fillId="2" borderId="0" xfId="0" applyNumberFormat="1" applyFont="1" applyBorder="1" applyAlignment="1">
      <alignment/>
    </xf>
    <xf numFmtId="38" fontId="0" fillId="2" borderId="45" xfId="0" applyNumberFormat="1" applyFont="1" applyBorder="1" applyAlignment="1">
      <alignment/>
    </xf>
    <xf numFmtId="164" fontId="0" fillId="0" borderId="0" xfId="0" applyNumberFormat="1" applyFill="1" applyAlignment="1">
      <alignment horizontal="left"/>
    </xf>
    <xf numFmtId="164" fontId="3" fillId="0" borderId="0" xfId="0" applyNumberFormat="1" applyFont="1" applyFill="1" applyAlignment="1">
      <alignment/>
    </xf>
    <xf numFmtId="164" fontId="0" fillId="2" borderId="0" xfId="0" applyNumberFormat="1" applyAlignment="1">
      <alignment/>
    </xf>
    <xf numFmtId="164" fontId="8" fillId="0" borderId="0" xfId="0" applyNumberFormat="1" applyFont="1" applyFill="1" applyAlignment="1">
      <alignment/>
    </xf>
    <xf numFmtId="164" fontId="8" fillId="2" borderId="0" xfId="0" applyNumberFormat="1" applyFont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ONotes" xfId="21"/>
    <cellStyle name="Normal_PR Adjustments" xfId="22"/>
    <cellStyle name="Normal_PSCFPMARCH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86"/>
  <sheetViews>
    <sheetView tabSelected="1" showOutlineSymbols="0" zoomScale="75" zoomScaleNormal="75" workbookViewId="0" topLeftCell="A1">
      <selection activeCell="A4" sqref="A4"/>
    </sheetView>
  </sheetViews>
  <sheetFormatPr defaultColWidth="12.77734375" defaultRowHeight="15"/>
  <cols>
    <col min="1" max="1" width="30.21484375" style="0" customWidth="1"/>
    <col min="2" max="2" width="12.99609375" style="0" customWidth="1"/>
    <col min="3" max="3" width="12.21484375" style="0" customWidth="1"/>
    <col min="4" max="4" width="11.77734375" style="0" customWidth="1"/>
    <col min="5" max="5" width="12.77734375" style="0" customWidth="1"/>
    <col min="6" max="6" width="11.77734375" style="0" customWidth="1"/>
    <col min="7" max="7" width="12.77734375" style="0" customWidth="1"/>
    <col min="8" max="8" width="11.77734375" style="0" customWidth="1"/>
    <col min="9" max="11" width="12.77734375" style="0" customWidth="1"/>
    <col min="13" max="13" width="13.21484375" style="0" customWidth="1"/>
    <col min="14" max="14" width="8.77734375" style="0" customWidth="1"/>
  </cols>
  <sheetData>
    <row r="1" spans="1:14" ht="18">
      <c r="A1" s="14" t="s">
        <v>88</v>
      </c>
      <c r="B1" s="14"/>
      <c r="C1" s="15"/>
      <c r="D1" s="4"/>
      <c r="E1" s="5"/>
      <c r="F1" s="5"/>
      <c r="G1" s="5"/>
      <c r="H1" s="5"/>
      <c r="I1" s="5"/>
      <c r="J1" s="6"/>
      <c r="K1" s="14"/>
      <c r="L1" s="14"/>
      <c r="M1" s="14"/>
      <c r="N1" s="17"/>
    </row>
    <row r="2" spans="1:14" ht="15.75">
      <c r="A2" s="14" t="s">
        <v>79</v>
      </c>
      <c r="B2" s="14"/>
      <c r="C2" s="14"/>
      <c r="D2" s="7"/>
      <c r="E2" s="79"/>
      <c r="F2" s="79"/>
      <c r="G2" s="79"/>
      <c r="H2" s="79"/>
      <c r="I2" s="79"/>
      <c r="J2" s="8"/>
      <c r="K2" s="14"/>
      <c r="L2" s="14"/>
      <c r="M2" s="14"/>
      <c r="N2" s="17"/>
    </row>
    <row r="3" spans="1:14" ht="15.75">
      <c r="A3" s="14" t="s">
        <v>264</v>
      </c>
      <c r="B3" s="14"/>
      <c r="C3" s="14"/>
      <c r="D3" s="9"/>
      <c r="E3" s="10"/>
      <c r="F3" s="10"/>
      <c r="G3" s="10"/>
      <c r="H3" s="10"/>
      <c r="I3" s="10"/>
      <c r="J3" s="11"/>
      <c r="K3" s="14"/>
      <c r="L3" s="14"/>
      <c r="M3" s="14"/>
      <c r="N3" s="17"/>
    </row>
    <row r="4" spans="1:14" ht="15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9"/>
    </row>
    <row r="5" spans="1:14" ht="15.75">
      <c r="A5" s="14"/>
      <c r="B5" s="14"/>
      <c r="C5" s="14"/>
      <c r="D5" s="14"/>
      <c r="E5" s="14"/>
      <c r="F5" s="14"/>
      <c r="G5" s="14"/>
      <c r="H5" s="14"/>
      <c r="I5" s="14"/>
      <c r="J5" s="20" t="s">
        <v>0</v>
      </c>
      <c r="K5" s="21"/>
      <c r="L5" s="21"/>
      <c r="M5" s="21"/>
      <c r="N5" s="22"/>
    </row>
    <row r="6" spans="1:14" ht="15.75">
      <c r="A6" s="14"/>
      <c r="B6" s="14"/>
      <c r="C6" s="14"/>
      <c r="D6" s="14"/>
      <c r="E6" s="14"/>
      <c r="F6" s="14"/>
      <c r="G6" s="14"/>
      <c r="H6" s="14"/>
      <c r="I6" s="14"/>
      <c r="J6" s="18"/>
      <c r="K6" s="17" t="s">
        <v>1</v>
      </c>
      <c r="L6" s="23" t="s">
        <v>2</v>
      </c>
      <c r="M6" s="19" t="s">
        <v>3</v>
      </c>
      <c r="N6" s="112">
        <v>25</v>
      </c>
    </row>
    <row r="7" spans="1:14" ht="1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25" t="s">
        <v>5</v>
      </c>
      <c r="K7" s="26">
        <v>2</v>
      </c>
      <c r="L7" s="26">
        <v>2</v>
      </c>
      <c r="M7" s="25" t="s">
        <v>5</v>
      </c>
      <c r="N7" s="24">
        <v>3</v>
      </c>
    </row>
    <row r="8" spans="1:14" ht="15">
      <c r="A8" s="19"/>
      <c r="B8" s="19"/>
      <c r="C8" s="19"/>
      <c r="D8" s="19"/>
      <c r="E8" s="19"/>
      <c r="F8" s="19"/>
      <c r="G8" s="19"/>
      <c r="H8" s="19"/>
      <c r="I8" s="19"/>
      <c r="J8" s="25" t="s">
        <v>6</v>
      </c>
      <c r="K8" s="26">
        <f>12-K7</f>
        <v>10</v>
      </c>
      <c r="L8" s="26">
        <f>13-L7</f>
        <v>11</v>
      </c>
      <c r="M8" s="25" t="s">
        <v>6</v>
      </c>
      <c r="N8" s="24">
        <f>26-N7</f>
        <v>23</v>
      </c>
    </row>
    <row r="9" spans="1:14" ht="16.5" thickBot="1">
      <c r="A9" s="19"/>
      <c r="B9" s="19"/>
      <c r="C9" s="28"/>
      <c r="D9" s="29" t="s">
        <v>7</v>
      </c>
      <c r="E9" s="30"/>
      <c r="F9" s="31" t="s">
        <v>8</v>
      </c>
      <c r="G9" s="32"/>
      <c r="H9" s="33"/>
      <c r="I9" s="32"/>
      <c r="J9" s="16" t="s">
        <v>9</v>
      </c>
      <c r="K9" s="31"/>
      <c r="L9" s="31"/>
      <c r="M9" s="32"/>
      <c r="N9" s="34"/>
    </row>
    <row r="10" spans="1:14" ht="16.5" thickBot="1" thickTop="1">
      <c r="A10" s="35"/>
      <c r="B10" s="36"/>
      <c r="C10" s="35"/>
      <c r="D10" s="35"/>
      <c r="E10" s="37" t="s">
        <v>10</v>
      </c>
      <c r="F10" s="37" t="s">
        <v>11</v>
      </c>
      <c r="G10" s="38" t="s">
        <v>265</v>
      </c>
      <c r="H10" s="39"/>
      <c r="I10" s="40"/>
      <c r="J10" s="37" t="s">
        <v>12</v>
      </c>
      <c r="K10" s="37" t="s">
        <v>13</v>
      </c>
      <c r="L10" s="35"/>
      <c r="M10" s="41"/>
      <c r="N10" s="42"/>
    </row>
    <row r="11" spans="1:14" ht="15.75" thickTop="1">
      <c r="A11" s="43"/>
      <c r="B11" s="44" t="s">
        <v>263</v>
      </c>
      <c r="C11" s="44" t="s">
        <v>14</v>
      </c>
      <c r="D11" s="43"/>
      <c r="E11" s="44" t="s">
        <v>14</v>
      </c>
      <c r="F11" s="44" t="s">
        <v>15</v>
      </c>
      <c r="G11" s="35" t="s">
        <v>4</v>
      </c>
      <c r="H11" s="35" t="s">
        <v>4</v>
      </c>
      <c r="I11" s="36"/>
      <c r="J11" s="44" t="s">
        <v>6</v>
      </c>
      <c r="K11" s="44" t="s">
        <v>16</v>
      </c>
      <c r="L11" s="44" t="s">
        <v>13</v>
      </c>
      <c r="M11" s="45" t="s">
        <v>17</v>
      </c>
      <c r="N11" s="46" t="s">
        <v>17</v>
      </c>
    </row>
    <row r="12" spans="1:14" ht="15.75" thickBot="1">
      <c r="A12" s="47" t="s">
        <v>18</v>
      </c>
      <c r="B12" s="47" t="s">
        <v>19</v>
      </c>
      <c r="C12" s="47" t="s">
        <v>20</v>
      </c>
      <c r="D12" s="47" t="s">
        <v>21</v>
      </c>
      <c r="E12" s="47" t="s">
        <v>20</v>
      </c>
      <c r="F12" s="47" t="s">
        <v>22</v>
      </c>
      <c r="G12" s="47" t="s">
        <v>23</v>
      </c>
      <c r="H12" s="47" t="s">
        <v>24</v>
      </c>
      <c r="I12" s="48" t="s">
        <v>25</v>
      </c>
      <c r="J12" s="47" t="s">
        <v>26</v>
      </c>
      <c r="K12" s="47" t="s">
        <v>26</v>
      </c>
      <c r="L12" s="47" t="s">
        <v>27</v>
      </c>
      <c r="M12" s="49" t="s">
        <v>28</v>
      </c>
      <c r="N12" s="50" t="s">
        <v>29</v>
      </c>
    </row>
    <row r="13" spans="1:14" ht="16.5" thickTop="1">
      <c r="A13" s="51" t="s">
        <v>30</v>
      </c>
      <c r="B13" s="52">
        <v>26819700</v>
      </c>
      <c r="C13" s="64">
        <v>26728500</v>
      </c>
      <c r="D13" s="53"/>
      <c r="E13" s="54">
        <f>+C13+D13</f>
        <v>26728500</v>
      </c>
      <c r="F13" s="19"/>
      <c r="G13" s="19"/>
      <c r="H13" s="19"/>
      <c r="I13" s="27"/>
      <c r="J13" s="19"/>
      <c r="K13" s="19"/>
      <c r="L13" s="19"/>
      <c r="M13" s="19"/>
      <c r="N13" s="55"/>
    </row>
    <row r="14" spans="1:14" ht="15">
      <c r="A14" s="56" t="s">
        <v>87</v>
      </c>
      <c r="B14" s="52">
        <v>-4583510.1</v>
      </c>
      <c r="C14" s="53"/>
      <c r="D14" s="53">
        <f>+D71</f>
        <v>-3713778.21</v>
      </c>
      <c r="E14" s="54">
        <f>C14+D14</f>
        <v>-3713778.21</v>
      </c>
      <c r="F14" s="19"/>
      <c r="G14" s="19"/>
      <c r="H14" s="19"/>
      <c r="I14" s="27"/>
      <c r="J14" s="19"/>
      <c r="K14" s="19"/>
      <c r="L14" s="19"/>
      <c r="M14" s="19"/>
      <c r="N14" s="55"/>
    </row>
    <row r="15" spans="1:14" ht="15">
      <c r="A15" s="56" t="s">
        <v>266</v>
      </c>
      <c r="B15" s="52"/>
      <c r="C15" s="53">
        <v>553000</v>
      </c>
      <c r="D15" s="53"/>
      <c r="E15" s="54">
        <f>C15+D15</f>
        <v>553000</v>
      </c>
      <c r="F15" s="19"/>
      <c r="G15" s="19"/>
      <c r="H15" s="19"/>
      <c r="I15" s="27"/>
      <c r="J15" s="19"/>
      <c r="K15" s="19"/>
      <c r="L15" s="19"/>
      <c r="M15" s="19"/>
      <c r="N15" s="55"/>
    </row>
    <row r="16" spans="1:14" ht="16.5" thickBot="1">
      <c r="A16" s="57" t="s">
        <v>31</v>
      </c>
      <c r="B16" s="58">
        <f>SUM(B13:B14)</f>
        <v>22236189.9</v>
      </c>
      <c r="C16" s="59">
        <f>SUM(C13:C15)</f>
        <v>27281500</v>
      </c>
      <c r="D16" s="59">
        <f>SUM(D13:D14)</f>
        <v>-3713778.21</v>
      </c>
      <c r="E16" s="60">
        <f>SUM(E13:E15)</f>
        <v>23567721.79</v>
      </c>
      <c r="F16" s="61" t="s">
        <v>4</v>
      </c>
      <c r="G16" s="61"/>
      <c r="H16" s="61"/>
      <c r="I16" s="62"/>
      <c r="J16" s="61"/>
      <c r="K16" s="61"/>
      <c r="L16" s="61"/>
      <c r="M16" s="61"/>
      <c r="N16" s="63"/>
    </row>
    <row r="17" spans="1:14" ht="16.5" thickTop="1">
      <c r="A17" s="51" t="s">
        <v>32</v>
      </c>
      <c r="B17" s="52"/>
      <c r="C17" s="53"/>
      <c r="D17" s="75"/>
      <c r="E17" s="109"/>
      <c r="F17" s="122"/>
      <c r="G17" s="19"/>
      <c r="H17" s="19"/>
      <c r="I17" s="27"/>
      <c r="J17" s="19"/>
      <c r="K17" s="19"/>
      <c r="L17" s="19"/>
      <c r="M17" s="19"/>
      <c r="N17" s="55"/>
    </row>
    <row r="18" spans="1:14" ht="15">
      <c r="A18" s="80" t="s">
        <v>33</v>
      </c>
      <c r="B18" s="52">
        <v>5597802.8</v>
      </c>
      <c r="C18" s="64">
        <v>6037466</v>
      </c>
      <c r="D18" s="109">
        <v>0</v>
      </c>
      <c r="E18" s="109">
        <f>C18+D18</f>
        <v>6037466</v>
      </c>
      <c r="F18" s="64">
        <v>447652.36</v>
      </c>
      <c r="G18" s="53">
        <v>679051.28</v>
      </c>
      <c r="H18" s="53">
        <v>0</v>
      </c>
      <c r="I18" s="54">
        <f>G18+H18</f>
        <v>679051.28</v>
      </c>
      <c r="J18" s="53">
        <f>'PR Adjustments'!G67</f>
        <v>5358414.6</v>
      </c>
      <c r="K18" s="53">
        <f>G18+H18+J18</f>
        <v>6037465.88</v>
      </c>
      <c r="L18" s="53">
        <f>E18-K18</f>
        <v>0.12000000011175871</v>
      </c>
      <c r="M18" s="65">
        <f>IF(+G18=0,0,+G18/+E18)</f>
        <v>0.11247289508545473</v>
      </c>
      <c r="N18" s="66">
        <f>$N$7/26</f>
        <v>0.11538461538461539</v>
      </c>
    </row>
    <row r="19" spans="1:14" ht="15">
      <c r="A19" s="80"/>
      <c r="B19" s="52"/>
      <c r="C19" s="53"/>
      <c r="D19" s="109"/>
      <c r="E19" s="109"/>
      <c r="F19" s="64"/>
      <c r="G19" s="53"/>
      <c r="H19" s="53"/>
      <c r="I19" s="54"/>
      <c r="J19" s="53"/>
      <c r="K19" s="53"/>
      <c r="L19" s="53"/>
      <c r="M19" s="53"/>
      <c r="N19" s="55"/>
    </row>
    <row r="20" spans="1:14" ht="15">
      <c r="A20" s="80" t="s">
        <v>34</v>
      </c>
      <c r="B20" s="52">
        <v>1250098.68</v>
      </c>
      <c r="C20" s="64">
        <v>1363054</v>
      </c>
      <c r="D20" s="109">
        <v>0</v>
      </c>
      <c r="E20" s="109">
        <f>C20+D20</f>
        <v>1363054</v>
      </c>
      <c r="F20" s="64">
        <v>96516.56</v>
      </c>
      <c r="G20" s="53">
        <v>224852.48</v>
      </c>
      <c r="H20" s="53">
        <v>0</v>
      </c>
      <c r="I20" s="54">
        <f>G20+H20</f>
        <v>224852.48</v>
      </c>
      <c r="J20" s="53">
        <f>'PR Adjustments'!H67</f>
        <v>1138201.4</v>
      </c>
      <c r="K20" s="53">
        <f>G20+H20+J20</f>
        <v>1363053.88</v>
      </c>
      <c r="L20" s="53">
        <f>E20-K20</f>
        <v>0.12000000011175871</v>
      </c>
      <c r="M20" s="65">
        <f>IF(+G20=0,0,+G20/+E20)</f>
        <v>0.1649622685528233</v>
      </c>
      <c r="N20" s="66">
        <f>$N$7/26</f>
        <v>0.11538461538461539</v>
      </c>
    </row>
    <row r="21" spans="1:14" ht="15">
      <c r="A21" s="80"/>
      <c r="B21" s="52"/>
      <c r="C21" s="53"/>
      <c r="D21" s="109"/>
      <c r="E21" s="109"/>
      <c r="F21" s="64"/>
      <c r="G21" s="53"/>
      <c r="H21" s="53"/>
      <c r="I21" s="54"/>
      <c r="J21" s="53"/>
      <c r="K21" s="53"/>
      <c r="L21" s="53"/>
      <c r="M21" s="53"/>
      <c r="N21" s="55"/>
    </row>
    <row r="22" spans="1:14" ht="15">
      <c r="A22" s="108" t="s">
        <v>35</v>
      </c>
      <c r="B22" s="52">
        <v>2820232.52</v>
      </c>
      <c r="C22" s="64">
        <v>3777719</v>
      </c>
      <c r="D22" s="109">
        <v>0</v>
      </c>
      <c r="E22" s="109">
        <f>C22+D22</f>
        <v>3777719</v>
      </c>
      <c r="F22" s="64">
        <v>226114.73</v>
      </c>
      <c r="G22" s="53">
        <v>363899.81</v>
      </c>
      <c r="H22" s="53">
        <v>0</v>
      </c>
      <c r="I22" s="54">
        <f>G22+H22</f>
        <v>363899.81</v>
      </c>
      <c r="J22" s="53">
        <f>'PR Adjustments'!I67</f>
        <v>3413818.7264</v>
      </c>
      <c r="K22" s="53">
        <f>G22+H22+J22</f>
        <v>3777718.5364</v>
      </c>
      <c r="L22" s="53">
        <f>E22-K22</f>
        <v>0.4635999999009073</v>
      </c>
      <c r="M22" s="65">
        <f>IF(+G22=0,0,+G22/+E22)</f>
        <v>0.09632791904321099</v>
      </c>
      <c r="N22" s="66">
        <f>$N$7/26</f>
        <v>0.11538461538461539</v>
      </c>
    </row>
    <row r="23" spans="1:14" ht="15">
      <c r="A23" s="80"/>
      <c r="B23" s="52"/>
      <c r="C23" s="53"/>
      <c r="D23" s="109"/>
      <c r="E23" s="109"/>
      <c r="F23" s="64"/>
      <c r="G23" s="53"/>
      <c r="H23" s="53"/>
      <c r="I23" s="54"/>
      <c r="J23" s="53"/>
      <c r="K23" s="53"/>
      <c r="L23" s="53"/>
      <c r="M23" s="53"/>
      <c r="N23" s="55"/>
    </row>
    <row r="24" spans="1:14" ht="15">
      <c r="A24" s="108" t="s">
        <v>78</v>
      </c>
      <c r="B24" s="52">
        <v>48369.63</v>
      </c>
      <c r="C24" s="64">
        <v>50000</v>
      </c>
      <c r="D24" s="109">
        <v>0</v>
      </c>
      <c r="E24" s="109">
        <f>C24+D24</f>
        <v>50000</v>
      </c>
      <c r="F24" s="64">
        <v>0</v>
      </c>
      <c r="G24" s="53">
        <v>0</v>
      </c>
      <c r="H24" s="53">
        <v>0</v>
      </c>
      <c r="I24" s="54">
        <f>G24+H24</f>
        <v>0</v>
      </c>
      <c r="J24" s="53">
        <f>+Project_CSSM!F20+Project_CSSM!G20+45059</f>
        <v>50000.16909090909</v>
      </c>
      <c r="K24" s="53">
        <f>G24+H24+J24</f>
        <v>50000.16909090909</v>
      </c>
      <c r="L24" s="53">
        <f>E24-K24</f>
        <v>-0.16909090909030056</v>
      </c>
      <c r="M24" s="65">
        <f>IF(+G24=0,0,+G24/+E24)</f>
        <v>0</v>
      </c>
      <c r="N24" s="66">
        <f>$L$7/13</f>
        <v>0.15384615384615385</v>
      </c>
    </row>
    <row r="25" spans="1:14" ht="15">
      <c r="A25" s="80"/>
      <c r="B25" s="52"/>
      <c r="C25" s="53"/>
      <c r="D25" s="109"/>
      <c r="E25" s="109"/>
      <c r="F25" s="64"/>
      <c r="G25" s="53"/>
      <c r="H25" s="53"/>
      <c r="I25" s="54"/>
      <c r="J25" s="53"/>
      <c r="K25" s="53"/>
      <c r="L25" s="53"/>
      <c r="M25" s="53"/>
      <c r="N25" s="55"/>
    </row>
    <row r="26" spans="1:14" ht="15">
      <c r="A26" s="80" t="s">
        <v>247</v>
      </c>
      <c r="B26" s="52">
        <f>9781.22+350778.64</f>
        <v>360559.86</v>
      </c>
      <c r="C26" s="64">
        <v>362000</v>
      </c>
      <c r="D26" s="109">
        <v>0</v>
      </c>
      <c r="E26" s="109">
        <f>C26+D26</f>
        <v>362000</v>
      </c>
      <c r="F26" s="64">
        <f>1257.65+28469.9</f>
        <v>29727.550000000003</v>
      </c>
      <c r="G26" s="53">
        <f>1257.65+37839.87</f>
        <v>39097.520000000004</v>
      </c>
      <c r="H26" s="53">
        <v>7224.54</v>
      </c>
      <c r="I26" s="54">
        <f>G26+H26</f>
        <v>46322.060000000005</v>
      </c>
      <c r="J26" s="53">
        <f>+Project_CSSM!F45+Project_CSSM!G45+262339</f>
        <v>315677.6509090909</v>
      </c>
      <c r="K26" s="53">
        <f>G26+H26+J26</f>
        <v>361999.7109090909</v>
      </c>
      <c r="L26" s="53">
        <f>E26-K26</f>
        <v>0.28909090912202373</v>
      </c>
      <c r="M26" s="65">
        <f>IF(+G26=0,0,+G26/+E26)</f>
        <v>0.10800419889502763</v>
      </c>
      <c r="N26" s="66">
        <f>$L$7/13</f>
        <v>0.15384615384615385</v>
      </c>
    </row>
    <row r="27" spans="1:14" ht="15">
      <c r="A27" s="80"/>
      <c r="B27" s="52"/>
      <c r="C27" s="53"/>
      <c r="D27" s="109"/>
      <c r="E27" s="109"/>
      <c r="F27" s="64"/>
      <c r="G27" s="53"/>
      <c r="H27" s="53"/>
      <c r="I27" s="54"/>
      <c r="J27" s="53"/>
      <c r="K27" s="53"/>
      <c r="L27" s="53"/>
      <c r="M27" s="53"/>
      <c r="N27" s="55"/>
    </row>
    <row r="28" spans="1:14" ht="15">
      <c r="A28" s="80" t="s">
        <v>36</v>
      </c>
      <c r="B28" s="52">
        <f>139957.38+2592.1</f>
        <v>142549.48</v>
      </c>
      <c r="C28" s="64">
        <v>144000</v>
      </c>
      <c r="D28" s="109">
        <v>0</v>
      </c>
      <c r="E28" s="109">
        <f>C28+D28</f>
        <v>144000</v>
      </c>
      <c r="F28" s="64">
        <v>11613.66</v>
      </c>
      <c r="G28" s="53">
        <v>12425.86</v>
      </c>
      <c r="H28" s="53">
        <v>0</v>
      </c>
      <c r="I28" s="54">
        <f>G28+H28</f>
        <v>12425.86</v>
      </c>
      <c r="J28" s="53">
        <f>+Project_CSSM!F55+Project_CSSM!G55+113827</f>
        <v>131574.22</v>
      </c>
      <c r="K28" s="53">
        <f>G28+H28+J28</f>
        <v>144000.08000000002</v>
      </c>
      <c r="L28" s="53">
        <f>E28-K28</f>
        <v>-0.08000000001629815</v>
      </c>
      <c r="M28" s="65">
        <f>IF(+G28=0,0,+G28/+E28)</f>
        <v>0.08629069444444445</v>
      </c>
      <c r="N28" s="66">
        <f>$K$7/12</f>
        <v>0.16666666666666666</v>
      </c>
    </row>
    <row r="29" spans="1:14" ht="15">
      <c r="A29" s="80"/>
      <c r="B29" s="52"/>
      <c r="C29" s="53"/>
      <c r="D29" s="109"/>
      <c r="E29" s="109"/>
      <c r="F29" s="64"/>
      <c r="G29" s="53"/>
      <c r="H29" s="53"/>
      <c r="I29" s="54"/>
      <c r="J29" s="53"/>
      <c r="K29" s="53"/>
      <c r="L29" s="53"/>
      <c r="M29" s="53"/>
      <c r="N29" s="55"/>
    </row>
    <row r="30" spans="1:14" ht="15">
      <c r="A30" s="80" t="s">
        <v>85</v>
      </c>
      <c r="B30" s="52">
        <v>75182.23</v>
      </c>
      <c r="C30" s="64">
        <v>77000</v>
      </c>
      <c r="D30" s="109">
        <v>0</v>
      </c>
      <c r="E30" s="109">
        <f>C30+D30</f>
        <v>77000</v>
      </c>
      <c r="F30" s="64">
        <v>1.64</v>
      </c>
      <c r="G30" s="53">
        <v>39.68</v>
      </c>
      <c r="H30" s="53">
        <v>0</v>
      </c>
      <c r="I30" s="54">
        <f>G30+H30</f>
        <v>39.68</v>
      </c>
      <c r="J30" s="53">
        <f>+Project_CSSM!F63+Project_CSSM!G63+68579</f>
        <v>76960.31454545454</v>
      </c>
      <c r="K30" s="53">
        <f>G30+H30+J30</f>
        <v>76999.99454545454</v>
      </c>
      <c r="L30" s="53">
        <f>E30-K30</f>
        <v>0.005454545462271199</v>
      </c>
      <c r="M30" s="65">
        <f>IF(+G30=0,0,+G30/+E30)</f>
        <v>0.0005153246753246754</v>
      </c>
      <c r="N30" s="66">
        <f>$K$7/12</f>
        <v>0.16666666666666666</v>
      </c>
    </row>
    <row r="31" spans="1:14" ht="15">
      <c r="A31" s="80"/>
      <c r="B31" s="52"/>
      <c r="C31" s="53"/>
      <c r="D31" s="109"/>
      <c r="E31" s="109"/>
      <c r="F31" s="64"/>
      <c r="G31" s="53"/>
      <c r="H31" s="53"/>
      <c r="I31" s="54"/>
      <c r="J31" s="53"/>
      <c r="K31" s="53"/>
      <c r="L31" s="53"/>
      <c r="M31" s="53"/>
      <c r="N31" s="55"/>
    </row>
    <row r="32" spans="1:14" ht="15">
      <c r="A32" s="80" t="s">
        <v>37</v>
      </c>
      <c r="B32" s="52">
        <f>3293971.8+1385563.08</f>
        <v>4679534.88</v>
      </c>
      <c r="C32" s="64">
        <v>4300000</v>
      </c>
      <c r="D32" s="109">
        <v>0</v>
      </c>
      <c r="E32" s="109">
        <f>C32+D32</f>
        <v>4300000</v>
      </c>
      <c r="F32" s="64">
        <v>109895.89</v>
      </c>
      <c r="G32" s="53">
        <v>296315.04</v>
      </c>
      <c r="H32" s="53">
        <v>461523.8</v>
      </c>
      <c r="I32" s="54">
        <f>G32+H32</f>
        <v>757838.84</v>
      </c>
      <c r="J32" s="53">
        <f>+Project_CSSM!F92+Project_CSSM!G92+3354587</f>
        <v>3542161.1672727275</v>
      </c>
      <c r="K32" s="53">
        <f>G32+H32+J32</f>
        <v>4300000.007272728</v>
      </c>
      <c r="L32" s="53">
        <f>E32-K32</f>
        <v>-0.007272727787494659</v>
      </c>
      <c r="M32" s="65">
        <f>IF(+G32=0,0,+G32/+E32)</f>
        <v>0.06891047441860465</v>
      </c>
      <c r="N32" s="66">
        <f>$L$7/13</f>
        <v>0.15384615384615385</v>
      </c>
    </row>
    <row r="33" spans="1:14" ht="15">
      <c r="A33" s="80"/>
      <c r="B33" s="52"/>
      <c r="C33" s="53"/>
      <c r="D33" s="109"/>
      <c r="E33" s="109"/>
      <c r="F33" s="64"/>
      <c r="G33" s="53"/>
      <c r="H33" s="53"/>
      <c r="I33" s="54"/>
      <c r="J33" s="53"/>
      <c r="K33" s="53"/>
      <c r="L33" s="53"/>
      <c r="M33" s="53"/>
      <c r="N33" s="67"/>
    </row>
    <row r="34" spans="1:14" ht="15">
      <c r="A34" s="80" t="s">
        <v>90</v>
      </c>
      <c r="B34" s="52">
        <v>0</v>
      </c>
      <c r="C34" s="64">
        <v>310000</v>
      </c>
      <c r="D34" s="109">
        <v>0</v>
      </c>
      <c r="E34" s="109">
        <f>C34+D34</f>
        <v>310000</v>
      </c>
      <c r="F34" s="64">
        <v>16059</v>
      </c>
      <c r="G34" s="53">
        <v>16059</v>
      </c>
      <c r="H34" s="53">
        <v>300424</v>
      </c>
      <c r="I34" s="54">
        <f>G34+H34</f>
        <v>316483</v>
      </c>
      <c r="J34" s="53">
        <f>+Project_CSSM!F96+Project_CSSM!G96-6483</f>
        <v>-6483</v>
      </c>
      <c r="K34" s="53">
        <f>G34+H34+J34</f>
        <v>310000</v>
      </c>
      <c r="L34" s="53">
        <f>E34-K34</f>
        <v>0</v>
      </c>
      <c r="M34" s="65">
        <f>IF(+G34=0,0,+G34/+E34)</f>
        <v>0.051803225806451615</v>
      </c>
      <c r="N34" s="66">
        <f>$L$7/13</f>
        <v>0.15384615384615385</v>
      </c>
    </row>
    <row r="35" spans="1:14" ht="15">
      <c r="A35" s="80"/>
      <c r="B35" s="52"/>
      <c r="C35" s="53"/>
      <c r="D35" s="109"/>
      <c r="E35" s="109"/>
      <c r="F35" s="64"/>
      <c r="G35" s="53"/>
      <c r="H35" s="53"/>
      <c r="I35" s="54"/>
      <c r="J35" s="53"/>
      <c r="K35" s="53"/>
      <c r="L35" s="53"/>
      <c r="M35" s="53"/>
      <c r="N35" s="67"/>
    </row>
    <row r="36" spans="1:14" ht="15">
      <c r="A36" s="80" t="s">
        <v>38</v>
      </c>
      <c r="B36" s="52">
        <v>540629.78</v>
      </c>
      <c r="C36" s="64">
        <v>542000</v>
      </c>
      <c r="D36" s="109">
        <v>0</v>
      </c>
      <c r="E36" s="109">
        <f>C36+D36</f>
        <v>542000</v>
      </c>
      <c r="F36" s="64">
        <v>38541.22</v>
      </c>
      <c r="G36" s="53">
        <v>45705.17</v>
      </c>
      <c r="H36" s="53">
        <v>401.04</v>
      </c>
      <c r="I36" s="54">
        <f>G36+H36</f>
        <v>46106.21</v>
      </c>
      <c r="J36" s="53">
        <f>+Project_CSSM!F118+Project_CSSM!G118+407166</f>
        <v>495893.8709090909</v>
      </c>
      <c r="K36" s="53">
        <f>G36+H36+J36</f>
        <v>542000.0809090909</v>
      </c>
      <c r="L36" s="53">
        <f>E36-K36</f>
        <v>-0.08090909093152732</v>
      </c>
      <c r="M36" s="65">
        <f>IF(+G36=0,0,+G36/+E36)</f>
        <v>0.08432688191881918</v>
      </c>
      <c r="N36" s="66">
        <f>$K$7/12</f>
        <v>0.16666666666666666</v>
      </c>
    </row>
    <row r="37" spans="1:14" ht="15">
      <c r="A37" s="80"/>
      <c r="B37" s="52"/>
      <c r="C37" s="53"/>
      <c r="D37" s="109"/>
      <c r="E37" s="109"/>
      <c r="F37" s="64"/>
      <c r="G37" s="53"/>
      <c r="H37" s="53"/>
      <c r="I37" s="54"/>
      <c r="J37" s="53"/>
      <c r="K37" s="53"/>
      <c r="L37" s="53"/>
      <c r="M37" s="53"/>
      <c r="N37" s="67"/>
    </row>
    <row r="38" spans="1:14" ht="15">
      <c r="A38" s="80" t="s">
        <v>39</v>
      </c>
      <c r="B38" s="52">
        <f>759617.5+26998.67</f>
        <v>786616.17</v>
      </c>
      <c r="C38" s="64">
        <v>788000</v>
      </c>
      <c r="D38" s="109">
        <v>0</v>
      </c>
      <c r="E38" s="109">
        <f>C38+D38</f>
        <v>788000</v>
      </c>
      <c r="F38" s="64">
        <v>7714.03</v>
      </c>
      <c r="G38" s="53">
        <v>10386.77</v>
      </c>
      <c r="H38" s="53">
        <v>14220.2</v>
      </c>
      <c r="I38" s="54">
        <f>G38+H38</f>
        <v>24606.97</v>
      </c>
      <c r="J38" s="53">
        <f>+Project_CSSM!F127+Project_CSSM!G127+700117</f>
        <v>763392.9527272728</v>
      </c>
      <c r="K38" s="53">
        <f>G38+H38+J38</f>
        <v>787999.9227272727</v>
      </c>
      <c r="L38" s="53">
        <f>E38-K38</f>
        <v>0.07727272727061063</v>
      </c>
      <c r="M38" s="65">
        <f>IF(+G38=0,0,+G38/+E38)</f>
        <v>0.013181180203045685</v>
      </c>
      <c r="N38" s="66">
        <f>$K$7/12</f>
        <v>0.16666666666666666</v>
      </c>
    </row>
    <row r="39" spans="1:14" ht="15">
      <c r="A39" s="80"/>
      <c r="B39" s="52"/>
      <c r="C39" s="53"/>
      <c r="D39" s="109"/>
      <c r="E39" s="109"/>
      <c r="F39" s="64"/>
      <c r="G39" s="53"/>
      <c r="H39" s="53"/>
      <c r="I39" s="54"/>
      <c r="J39" s="53"/>
      <c r="K39" s="53"/>
      <c r="L39" s="53"/>
      <c r="M39" s="53"/>
      <c r="N39" s="67"/>
    </row>
    <row r="40" spans="1:14" ht="15">
      <c r="A40" s="80" t="s">
        <v>86</v>
      </c>
      <c r="B40" s="52">
        <v>125175.76</v>
      </c>
      <c r="C40" s="64">
        <v>125000</v>
      </c>
      <c r="D40" s="109">
        <v>0</v>
      </c>
      <c r="E40" s="109">
        <f>C40+D40</f>
        <v>125000</v>
      </c>
      <c r="F40" s="64">
        <v>24224.24</v>
      </c>
      <c r="G40" s="109">
        <v>24887.77</v>
      </c>
      <c r="H40" s="109">
        <v>72672.76</v>
      </c>
      <c r="I40" s="54">
        <f>G40+H40</f>
        <v>97560.53</v>
      </c>
      <c r="J40" s="53">
        <f>+Project_CSSM!F135+Project_CSSM!G135+27439</f>
        <v>27439.600909090906</v>
      </c>
      <c r="K40" s="53">
        <f>G40+H40+J40</f>
        <v>125000.1309090909</v>
      </c>
      <c r="L40" s="109">
        <f>E40-K40</f>
        <v>-0.13090909090533387</v>
      </c>
      <c r="M40" s="65">
        <f>IF(+G40=0,0,+G40/+E40)</f>
        <v>0.19910216</v>
      </c>
      <c r="N40" s="66">
        <f>$K$7/12</f>
        <v>0.16666666666666666</v>
      </c>
    </row>
    <row r="41" spans="1:14" ht="15">
      <c r="A41" s="80"/>
      <c r="B41" s="52"/>
      <c r="C41" s="53"/>
      <c r="D41" s="109"/>
      <c r="E41" s="109"/>
      <c r="F41" s="64"/>
      <c r="G41" s="53"/>
      <c r="H41" s="53"/>
      <c r="I41" s="27"/>
      <c r="J41" s="53"/>
      <c r="K41" s="53"/>
      <c r="L41" s="53"/>
      <c r="M41" s="53"/>
      <c r="N41" s="67"/>
    </row>
    <row r="42" spans="1:14" ht="15">
      <c r="A42" s="80" t="s">
        <v>92</v>
      </c>
      <c r="B42" s="52">
        <v>20</v>
      </c>
      <c r="C42" s="64">
        <v>0</v>
      </c>
      <c r="D42" s="109">
        <v>0</v>
      </c>
      <c r="E42" s="109">
        <f>C42+D42</f>
        <v>0</v>
      </c>
      <c r="F42" s="64">
        <v>0</v>
      </c>
      <c r="G42" s="109">
        <v>0</v>
      </c>
      <c r="H42" s="109">
        <v>0</v>
      </c>
      <c r="I42" s="54">
        <f>G42+H42</f>
        <v>0</v>
      </c>
      <c r="J42" s="53">
        <f>+Project_CSSM!F142+Project_CSSM!G142</f>
        <v>-0.18181818181818188</v>
      </c>
      <c r="K42" s="53">
        <v>0</v>
      </c>
      <c r="L42" s="109">
        <f>E42-K42</f>
        <v>0</v>
      </c>
      <c r="M42" s="65">
        <f>IF(+G42=0,0,+G42/+E42)</f>
        <v>0</v>
      </c>
      <c r="N42" s="66">
        <f>$K$7/12</f>
        <v>0.16666666666666666</v>
      </c>
    </row>
    <row r="43" spans="1:14" ht="15">
      <c r="A43" s="80"/>
      <c r="B43" s="52"/>
      <c r="C43" s="53"/>
      <c r="D43" s="109"/>
      <c r="E43" s="109"/>
      <c r="F43" s="64"/>
      <c r="G43" s="53"/>
      <c r="H43" s="53"/>
      <c r="I43" s="27"/>
      <c r="J43" s="53"/>
      <c r="K43" s="53"/>
      <c r="L43" s="53"/>
      <c r="M43" s="53"/>
      <c r="N43" s="67"/>
    </row>
    <row r="44" spans="1:14" ht="15">
      <c r="A44" s="80" t="s">
        <v>84</v>
      </c>
      <c r="B44" s="52">
        <v>5528.03</v>
      </c>
      <c r="C44" s="64">
        <v>6000</v>
      </c>
      <c r="D44" s="109">
        <v>0</v>
      </c>
      <c r="E44" s="109">
        <f>C44+D44</f>
        <v>6000</v>
      </c>
      <c r="F44" s="64">
        <v>0</v>
      </c>
      <c r="G44" s="53">
        <v>0</v>
      </c>
      <c r="H44" s="53">
        <v>0</v>
      </c>
      <c r="I44" s="54">
        <f>G44+H44</f>
        <v>0</v>
      </c>
      <c r="J44" s="53">
        <f>+Project_CSSM!F151+Project_CSSM!G151-1578</f>
        <v>5999.548181818182</v>
      </c>
      <c r="K44" s="109">
        <f>G44+H44+J44</f>
        <v>5999.548181818182</v>
      </c>
      <c r="L44" s="109">
        <f>E44-K44</f>
        <v>0.451818181818453</v>
      </c>
      <c r="M44" s="65">
        <f>IF(+G44=0,0,+G44/+E44)</f>
        <v>0</v>
      </c>
      <c r="N44" s="66">
        <f>$K$7/12</f>
        <v>0.16666666666666666</v>
      </c>
    </row>
    <row r="45" spans="1:14" ht="15">
      <c r="A45" s="56"/>
      <c r="B45" s="52"/>
      <c r="C45" s="53"/>
      <c r="D45" s="109"/>
      <c r="E45" s="109"/>
      <c r="F45" s="64"/>
      <c r="G45" s="53"/>
      <c r="H45" s="53"/>
      <c r="I45" s="27"/>
      <c r="J45" s="53"/>
      <c r="K45" s="53"/>
      <c r="L45" s="53"/>
      <c r="M45" s="53"/>
      <c r="N45" s="67"/>
    </row>
    <row r="46" spans="1:14" ht="15">
      <c r="A46" s="56" t="s">
        <v>248</v>
      </c>
      <c r="B46" s="52">
        <v>374630.76</v>
      </c>
      <c r="C46" s="64">
        <v>376000</v>
      </c>
      <c r="D46" s="109">
        <v>0</v>
      </c>
      <c r="E46" s="109">
        <f>C46+D46</f>
        <v>376000</v>
      </c>
      <c r="F46" s="64">
        <v>0</v>
      </c>
      <c r="G46" s="53">
        <v>0</v>
      </c>
      <c r="H46" s="53">
        <v>0</v>
      </c>
      <c r="I46" s="54">
        <f>G46+H46</f>
        <v>0</v>
      </c>
      <c r="J46" s="53">
        <f>+Project_CSSM!F157+Project_CSSM!G157+376000</f>
        <v>376000.26545454544</v>
      </c>
      <c r="K46" s="109">
        <f>G46+H46+J46</f>
        <v>376000.26545454544</v>
      </c>
      <c r="L46" s="109">
        <f>E46-K46</f>
        <v>-0.2654545454424806</v>
      </c>
      <c r="M46" s="65">
        <f>IF(+G46=0,0,+G46/+E46)</f>
        <v>0</v>
      </c>
      <c r="N46" s="66">
        <f>$K$7/12</f>
        <v>0.16666666666666666</v>
      </c>
    </row>
    <row r="47" spans="1:14" ht="15">
      <c r="A47" s="56"/>
      <c r="B47" s="52"/>
      <c r="C47" s="53"/>
      <c r="D47" s="109"/>
      <c r="E47" s="109"/>
      <c r="F47" s="64"/>
      <c r="G47" s="53"/>
      <c r="H47" s="53"/>
      <c r="I47" s="27"/>
      <c r="J47" s="109"/>
      <c r="K47" s="109"/>
      <c r="L47" s="53"/>
      <c r="M47" s="53"/>
      <c r="N47" s="67"/>
    </row>
    <row r="48" spans="1:14" ht="15">
      <c r="A48" s="80" t="s">
        <v>89</v>
      </c>
      <c r="B48" s="52">
        <v>538367.8</v>
      </c>
      <c r="C48" s="64">
        <v>540000</v>
      </c>
      <c r="D48" s="109">
        <v>0</v>
      </c>
      <c r="E48" s="109">
        <f>C48+D48</f>
        <v>540000</v>
      </c>
      <c r="F48" s="64">
        <v>0</v>
      </c>
      <c r="G48" s="53">
        <v>0</v>
      </c>
      <c r="H48" s="53">
        <v>0</v>
      </c>
      <c r="I48" s="54">
        <f>G48+H48</f>
        <v>0</v>
      </c>
      <c r="J48" s="64">
        <f>+Project_CSSM!F165+Project_CSSM!G165+373461</f>
        <v>540000.3536363636</v>
      </c>
      <c r="K48" s="109">
        <f>G48+H48+J48</f>
        <v>540000.3536363636</v>
      </c>
      <c r="L48" s="53">
        <f>E48-K48</f>
        <v>-0.3536363636376336</v>
      </c>
      <c r="M48" s="65">
        <f>IF(+G48=0,0,+G48/+E48)</f>
        <v>0</v>
      </c>
      <c r="N48" s="66">
        <f>$L$7/13</f>
        <v>0.15384615384615385</v>
      </c>
    </row>
    <row r="49" spans="1:14" ht="15">
      <c r="A49" s="80"/>
      <c r="B49" s="52"/>
      <c r="C49" s="53"/>
      <c r="D49" s="109"/>
      <c r="E49" s="109"/>
      <c r="F49" s="64"/>
      <c r="G49" s="53"/>
      <c r="H49" s="53"/>
      <c r="I49" s="27"/>
      <c r="J49" s="109"/>
      <c r="K49" s="109"/>
      <c r="L49" s="53"/>
      <c r="M49" s="53"/>
      <c r="N49" s="67"/>
    </row>
    <row r="50" spans="1:14" ht="15">
      <c r="A50" s="80" t="s">
        <v>91</v>
      </c>
      <c r="B50" s="52">
        <f>285378.9+4927.48</f>
        <v>290306.38</v>
      </c>
      <c r="C50" s="64">
        <v>290000</v>
      </c>
      <c r="D50" s="109">
        <v>0</v>
      </c>
      <c r="E50" s="109">
        <f>C50+D50</f>
        <v>290000</v>
      </c>
      <c r="F50" s="64">
        <v>0</v>
      </c>
      <c r="G50" s="53">
        <v>0</v>
      </c>
      <c r="H50" s="53">
        <v>0</v>
      </c>
      <c r="I50" s="54">
        <f>G50+H50</f>
        <v>0</v>
      </c>
      <c r="J50" s="64">
        <f>+Project_CSSM!F169+Project_CSSM!G169+155745</f>
        <v>289999.7590909091</v>
      </c>
      <c r="K50" s="109">
        <f>G50+H50+J50</f>
        <v>289999.7590909091</v>
      </c>
      <c r="L50" s="53">
        <f>E50-K50</f>
        <v>0.24090909090591595</v>
      </c>
      <c r="M50" s="65">
        <f>IF(+G50=0,0,+G50/+E50)</f>
        <v>0</v>
      </c>
      <c r="N50" s="66">
        <f>$L$7/13</f>
        <v>0.15384615384615385</v>
      </c>
    </row>
    <row r="51" spans="1:14" ht="15">
      <c r="A51" s="56"/>
      <c r="B51" s="52"/>
      <c r="C51" s="53"/>
      <c r="D51" s="109"/>
      <c r="E51" s="109"/>
      <c r="F51" s="64"/>
      <c r="G51" s="53"/>
      <c r="H51" s="53"/>
      <c r="I51" s="27"/>
      <c r="J51" s="64"/>
      <c r="K51" s="109"/>
      <c r="L51" s="53"/>
      <c r="M51" s="53"/>
      <c r="N51" s="67"/>
    </row>
    <row r="52" spans="1:14" ht="15">
      <c r="A52" s="56" t="s">
        <v>100</v>
      </c>
      <c r="B52" s="52">
        <v>14984.81</v>
      </c>
      <c r="C52" s="64">
        <v>15000</v>
      </c>
      <c r="D52" s="109">
        <v>0</v>
      </c>
      <c r="E52" s="109">
        <f>C52+D52</f>
        <v>15000</v>
      </c>
      <c r="F52" s="64">
        <v>0</v>
      </c>
      <c r="G52" s="53">
        <v>0</v>
      </c>
      <c r="H52" s="53">
        <v>0</v>
      </c>
      <c r="I52" s="54">
        <f>G52+H52</f>
        <v>0</v>
      </c>
      <c r="J52" s="64">
        <v>15000</v>
      </c>
      <c r="K52" s="109">
        <f>G52+H52+J52</f>
        <v>15000</v>
      </c>
      <c r="L52" s="53">
        <f>E52-K52</f>
        <v>0</v>
      </c>
      <c r="M52" s="65">
        <f>IF(+G52=0,0,+G52/+E52)</f>
        <v>0</v>
      </c>
      <c r="N52" s="66">
        <f>$K$7/12</f>
        <v>0.16666666666666666</v>
      </c>
    </row>
    <row r="53" spans="1:14" ht="15">
      <c r="A53" s="56"/>
      <c r="B53" s="52"/>
      <c r="C53" s="53"/>
      <c r="D53" s="109"/>
      <c r="E53" s="109"/>
      <c r="F53" s="64"/>
      <c r="G53" s="53"/>
      <c r="H53" s="53"/>
      <c r="I53" s="27"/>
      <c r="J53" s="109"/>
      <c r="K53" s="109"/>
      <c r="L53" s="53"/>
      <c r="M53" s="53"/>
      <c r="N53" s="67"/>
    </row>
    <row r="54" spans="1:14" ht="15">
      <c r="A54" s="80" t="s">
        <v>93</v>
      </c>
      <c r="B54" s="52">
        <f>4392189.75+27766.34</f>
        <v>4419956.09</v>
      </c>
      <c r="C54" s="64">
        <v>4421000</v>
      </c>
      <c r="D54" s="109">
        <v>0</v>
      </c>
      <c r="E54" s="109">
        <f>C54+D54</f>
        <v>4421000</v>
      </c>
      <c r="F54" s="64">
        <v>245808.31</v>
      </c>
      <c r="G54" s="53">
        <v>337705.35</v>
      </c>
      <c r="H54" s="53">
        <v>527309.99</v>
      </c>
      <c r="I54" s="54">
        <f>G54+H54</f>
        <v>865015.34</v>
      </c>
      <c r="J54" s="64">
        <f>+Project_CSSM!F198+Project_CSSM!G198+2573550</f>
        <v>3555984.347272727</v>
      </c>
      <c r="K54" s="53">
        <f>G54+H54+J54</f>
        <v>4420999.6872727275</v>
      </c>
      <c r="L54" s="53">
        <f>E54-K54</f>
        <v>0.31272727251052856</v>
      </c>
      <c r="M54" s="65">
        <f>IF(+G54=0,0,+G54/+E54)</f>
        <v>0.07638664329337254</v>
      </c>
      <c r="N54" s="66">
        <f>$L$7/13</f>
        <v>0.15384615384615385</v>
      </c>
    </row>
    <row r="55" spans="1:14" ht="15">
      <c r="A55" s="56"/>
      <c r="B55" s="52"/>
      <c r="C55" s="109"/>
      <c r="D55" s="109"/>
      <c r="E55" s="109"/>
      <c r="F55" s="64"/>
      <c r="G55" s="53"/>
      <c r="H55" s="53"/>
      <c r="I55" s="54"/>
      <c r="J55" s="109"/>
      <c r="K55" s="109"/>
      <c r="L55" s="53"/>
      <c r="M55" s="65"/>
      <c r="N55" s="66"/>
    </row>
    <row r="56" spans="1:14" ht="15">
      <c r="A56" s="56" t="s">
        <v>98</v>
      </c>
      <c r="B56" s="52">
        <v>20317.06</v>
      </c>
      <c r="C56" s="64">
        <v>21500</v>
      </c>
      <c r="D56" s="109">
        <v>0</v>
      </c>
      <c r="E56" s="109">
        <f>C56+D56</f>
        <v>21500</v>
      </c>
      <c r="F56" s="64">
        <v>0</v>
      </c>
      <c r="G56" s="53">
        <v>0</v>
      </c>
      <c r="H56" s="53">
        <v>0</v>
      </c>
      <c r="I56" s="54">
        <f>G56+H56</f>
        <v>0</v>
      </c>
      <c r="J56" s="64">
        <f>+Project_CSSM!F202+Project_CSSM!G202+18164</f>
        <v>21500.444545454546</v>
      </c>
      <c r="K56" s="109">
        <f>G56+H56+J56</f>
        <v>21500.444545454546</v>
      </c>
      <c r="L56" s="53">
        <f>E56-K56</f>
        <v>-0.44454545454573235</v>
      </c>
      <c r="M56" s="65">
        <f>IF(+G56=0,0,+G56/+E56)</f>
        <v>0</v>
      </c>
      <c r="N56" s="66">
        <f>$L$7/13</f>
        <v>0.15384615384615385</v>
      </c>
    </row>
    <row r="57" spans="1:14" ht="15">
      <c r="A57" s="56"/>
      <c r="B57" s="52"/>
      <c r="C57" s="53"/>
      <c r="D57" s="109"/>
      <c r="E57" s="109"/>
      <c r="F57" s="64"/>
      <c r="G57" s="53"/>
      <c r="H57" s="53"/>
      <c r="I57" s="27"/>
      <c r="J57" s="109"/>
      <c r="K57" s="109"/>
      <c r="L57" s="53"/>
      <c r="M57" s="53"/>
      <c r="N57" s="67"/>
    </row>
    <row r="58" spans="1:14" ht="15">
      <c r="A58" s="80" t="s">
        <v>99</v>
      </c>
      <c r="B58" s="52">
        <v>0</v>
      </c>
      <c r="C58" s="64">
        <v>0</v>
      </c>
      <c r="D58" s="109">
        <v>0</v>
      </c>
      <c r="E58" s="109">
        <f>C58+D58</f>
        <v>0</v>
      </c>
      <c r="F58" s="64">
        <v>0</v>
      </c>
      <c r="G58" s="53">
        <v>0</v>
      </c>
      <c r="H58" s="53">
        <v>0</v>
      </c>
      <c r="I58" s="54">
        <f>G58+H58</f>
        <v>0</v>
      </c>
      <c r="J58" s="64">
        <f>(+G58/+$L$7)*$L$8</f>
        <v>0</v>
      </c>
      <c r="K58" s="109">
        <f>G58+H58+J58</f>
        <v>0</v>
      </c>
      <c r="L58" s="53">
        <f>E58-K58</f>
        <v>0</v>
      </c>
      <c r="M58" s="65">
        <f>IF(+G58=0,0,+G58/+E58)</f>
        <v>0</v>
      </c>
      <c r="N58" s="66">
        <f>$L$7/13</f>
        <v>0.15384615384615385</v>
      </c>
    </row>
    <row r="59" spans="1:14" ht="15">
      <c r="A59" s="56"/>
      <c r="B59" s="52"/>
      <c r="C59" s="53"/>
      <c r="D59" s="109"/>
      <c r="E59" s="109"/>
      <c r="F59" s="64"/>
      <c r="G59" s="53"/>
      <c r="H59" s="53"/>
      <c r="I59" s="27"/>
      <c r="J59" s="53"/>
      <c r="K59" s="53" t="s">
        <v>94</v>
      </c>
      <c r="L59" s="53"/>
      <c r="M59" s="109"/>
      <c r="N59" s="67"/>
    </row>
    <row r="60" spans="1:14" ht="16.5" thickBot="1">
      <c r="A60" s="57" t="s">
        <v>40</v>
      </c>
      <c r="B60" s="58">
        <f>SUM(B17:B59)</f>
        <v>22090862.72</v>
      </c>
      <c r="C60" s="59">
        <f aca="true" t="shared" si="0" ref="C60:H60">SUM(C18:C58)</f>
        <v>23545739</v>
      </c>
      <c r="D60" s="59">
        <f t="shared" si="0"/>
        <v>0</v>
      </c>
      <c r="E60" s="59">
        <f t="shared" si="0"/>
        <v>23545739</v>
      </c>
      <c r="F60" s="120">
        <f>SUM(F18:F58)</f>
        <v>1253869.19</v>
      </c>
      <c r="G60" s="59">
        <f t="shared" si="0"/>
        <v>2050425.73</v>
      </c>
      <c r="H60" s="59">
        <f t="shared" si="0"/>
        <v>1383776.33</v>
      </c>
      <c r="I60" s="60">
        <f>SUM(I17:I59)</f>
        <v>3434202.06</v>
      </c>
      <c r="J60" s="59">
        <f>SUM(J18:J58)</f>
        <v>20111536.209127277</v>
      </c>
      <c r="K60" s="59">
        <f>SUM(K18:K58)</f>
        <v>23545738.450945456</v>
      </c>
      <c r="L60" s="59">
        <f>SUM(L18:L58)</f>
        <v>0.5490545448574267</v>
      </c>
      <c r="M60" s="119">
        <f>IF(+G60=0,0,+G60/+E60)</f>
        <v>0.08708266620979703</v>
      </c>
      <c r="N60" s="81"/>
    </row>
    <row r="61" spans="1:14" ht="15.75" thickTop="1">
      <c r="A61" s="56"/>
      <c r="B61" s="52"/>
      <c r="C61" s="53"/>
      <c r="D61" s="19"/>
      <c r="E61" s="54"/>
      <c r="F61" s="19"/>
      <c r="G61" s="19"/>
      <c r="H61" s="19"/>
      <c r="I61" s="27"/>
      <c r="J61" s="19"/>
      <c r="K61" s="19"/>
      <c r="L61" s="19"/>
      <c r="M61" s="19"/>
      <c r="N61" s="55"/>
    </row>
    <row r="62" spans="1:14" ht="16.5" thickBot="1">
      <c r="A62" s="57" t="s">
        <v>41</v>
      </c>
      <c r="B62" s="58"/>
      <c r="C62" s="59">
        <f>C16-C60</f>
        <v>3735761</v>
      </c>
      <c r="D62" s="59"/>
      <c r="E62" s="60">
        <f>SUM(+E16-E60)</f>
        <v>21982.789999999106</v>
      </c>
      <c r="F62" s="61"/>
      <c r="G62" s="61"/>
      <c r="H62" s="61"/>
      <c r="I62" s="62"/>
      <c r="J62" s="61"/>
      <c r="K62" s="61"/>
      <c r="L62" s="59">
        <f>E62+L60</f>
        <v>21983.33905454396</v>
      </c>
      <c r="M62" s="61"/>
      <c r="N62" s="63"/>
    </row>
    <row r="63" spans="1:14" ht="15.75" thickTop="1">
      <c r="A63" s="19"/>
      <c r="B63" s="53"/>
      <c r="C63" s="53"/>
      <c r="D63" s="19"/>
      <c r="E63" s="53"/>
      <c r="F63" s="19"/>
      <c r="G63" s="19"/>
      <c r="H63" s="19"/>
      <c r="I63" s="19"/>
      <c r="J63" s="19"/>
      <c r="K63" s="19"/>
      <c r="L63" s="19"/>
      <c r="M63" s="19"/>
      <c r="N63" s="19"/>
    </row>
    <row r="64" spans="1:14" ht="16.5" thickBot="1">
      <c r="A64" s="19"/>
      <c r="B64" s="53"/>
      <c r="C64" s="70"/>
      <c r="D64" s="19"/>
      <c r="E64" s="53"/>
      <c r="F64" s="19"/>
      <c r="G64" s="19"/>
      <c r="H64" s="19"/>
      <c r="I64" s="19"/>
      <c r="J64" s="19"/>
      <c r="K64" s="19"/>
      <c r="L64" s="19"/>
      <c r="M64" s="19"/>
      <c r="N64" s="19"/>
    </row>
    <row r="65" spans="1:14" ht="17.25" thickBot="1" thickTop="1">
      <c r="A65" s="71" t="s">
        <v>42</v>
      </c>
      <c r="B65" s="72"/>
      <c r="C65" s="70"/>
      <c r="D65" s="19"/>
      <c r="E65" s="53"/>
      <c r="F65" s="19"/>
      <c r="G65" s="19"/>
      <c r="H65" s="19"/>
      <c r="I65" s="61"/>
      <c r="J65" s="19"/>
      <c r="K65" s="73" t="s">
        <v>27</v>
      </c>
      <c r="L65" s="73" t="s">
        <v>102</v>
      </c>
      <c r="M65" s="134"/>
      <c r="N65" s="19"/>
    </row>
    <row r="66" spans="1:14" ht="15.75" thickTop="1">
      <c r="A66" s="56" t="s">
        <v>80</v>
      </c>
      <c r="B66" s="74"/>
      <c r="C66" s="177">
        <f>20265900+419300</f>
        <v>20685200</v>
      </c>
      <c r="D66" s="111">
        <f>-527108+-2161909.21</f>
        <v>-2689017.21</v>
      </c>
      <c r="E66" s="75">
        <f>C66+D66</f>
        <v>17996182.79</v>
      </c>
      <c r="F66" s="75"/>
      <c r="G66" s="75">
        <f>1436547.42+176444.6</f>
        <v>1612992.02</v>
      </c>
      <c r="H66" s="75">
        <f>1166122.88+64.26</f>
        <v>1166187.14</v>
      </c>
      <c r="I66" s="54">
        <f>SUM(G66:H66)</f>
        <v>2779179.16</v>
      </c>
      <c r="J66" s="75">
        <f>J60-J67-J68-J69-J70</f>
        <v>15195020.109127276</v>
      </c>
      <c r="K66" s="111">
        <f>G66+H66+J66+21</f>
        <v>17974220.269127276</v>
      </c>
      <c r="L66" s="75">
        <f>(E66-K66)+20</f>
        <v>21982.52087272331</v>
      </c>
      <c r="M66" s="75"/>
      <c r="N66" s="76"/>
    </row>
    <row r="67" spans="1:14" ht="15">
      <c r="A67" s="56" t="s">
        <v>81</v>
      </c>
      <c r="B67" s="109" t="s">
        <v>249</v>
      </c>
      <c r="C67" s="176">
        <f>111800+2300</f>
        <v>114100</v>
      </c>
      <c r="D67" s="109">
        <v>-108100</v>
      </c>
      <c r="E67" s="109">
        <f>C67+D67</f>
        <v>6000</v>
      </c>
      <c r="F67" s="109"/>
      <c r="G67" s="109">
        <v>0</v>
      </c>
      <c r="H67" s="109">
        <v>0</v>
      </c>
      <c r="I67" s="54">
        <f>G67+H67</f>
        <v>0</v>
      </c>
      <c r="J67" s="109">
        <f>+E67</f>
        <v>6000</v>
      </c>
      <c r="K67" s="109">
        <f>G67+H67+J67</f>
        <v>6000</v>
      </c>
      <c r="L67" s="109">
        <f>E67-K67</f>
        <v>0</v>
      </c>
      <c r="M67" s="109"/>
      <c r="N67" s="67"/>
    </row>
    <row r="68" spans="1:14" ht="15">
      <c r="A68" s="56" t="s">
        <v>82</v>
      </c>
      <c r="B68" s="109"/>
      <c r="C68" s="176">
        <f>553600+11500</f>
        <v>565100</v>
      </c>
      <c r="D68" s="109">
        <v>-299100</v>
      </c>
      <c r="E68" s="109">
        <f>C68+D68</f>
        <v>266000</v>
      </c>
      <c r="F68" s="109"/>
      <c r="G68" s="109">
        <v>27030.9</v>
      </c>
      <c r="H68" s="109">
        <v>1250</v>
      </c>
      <c r="I68" s="54">
        <f>G68+H68</f>
        <v>28280.9</v>
      </c>
      <c r="J68" s="109">
        <f>+E68-I68</f>
        <v>237719.1</v>
      </c>
      <c r="K68" s="109">
        <f>G68+H68+J68</f>
        <v>266000</v>
      </c>
      <c r="L68" s="109">
        <f>E68-K68</f>
        <v>0</v>
      </c>
      <c r="M68" s="109"/>
      <c r="N68" s="67"/>
    </row>
    <row r="69" spans="1:14" ht="15">
      <c r="A69" s="56" t="s">
        <v>83</v>
      </c>
      <c r="B69" s="109"/>
      <c r="C69" s="176">
        <f>529000+10900</f>
        <v>539900</v>
      </c>
      <c r="D69" s="109">
        <v>-474900</v>
      </c>
      <c r="E69" s="109">
        <f>C69+D69</f>
        <v>65000</v>
      </c>
      <c r="F69" s="109"/>
      <c r="G69" s="109">
        <v>0</v>
      </c>
      <c r="H69" s="109">
        <v>0</v>
      </c>
      <c r="I69" s="54">
        <f>G69+H69</f>
        <v>0</v>
      </c>
      <c r="J69" s="109">
        <f>+E69</f>
        <v>65000</v>
      </c>
      <c r="K69" s="53">
        <f>G69+H69+J69</f>
        <v>65000</v>
      </c>
      <c r="L69" s="53">
        <f>E69-K69</f>
        <v>0</v>
      </c>
      <c r="M69" s="109"/>
      <c r="N69" s="67"/>
    </row>
    <row r="70" spans="1:14" ht="15">
      <c r="A70" s="56" t="s">
        <v>43</v>
      </c>
      <c r="B70" s="53"/>
      <c r="C70" s="176">
        <f>5268200+109000</f>
        <v>5377200</v>
      </c>
      <c r="D70" s="109">
        <f>-142661</f>
        <v>-142661</v>
      </c>
      <c r="E70" s="109">
        <f>C70+D70</f>
        <v>5234539</v>
      </c>
      <c r="F70" s="109"/>
      <c r="G70" s="109">
        <f>368709.95+41692.86</f>
        <v>410402.81</v>
      </c>
      <c r="H70" s="109">
        <f>216002.41+336.78</f>
        <v>216339.19</v>
      </c>
      <c r="I70" s="69">
        <f>G70+H70</f>
        <v>626742</v>
      </c>
      <c r="J70" s="109">
        <f>+E70-I70</f>
        <v>4607797</v>
      </c>
      <c r="K70" s="110">
        <f>G70+H70+J70</f>
        <v>5234539</v>
      </c>
      <c r="L70" s="68">
        <f>E70-K70</f>
        <v>0</v>
      </c>
      <c r="M70" s="53"/>
      <c r="N70" s="67"/>
    </row>
    <row r="71" spans="1:14" ht="15.75" thickBot="1">
      <c r="A71" s="49" t="s">
        <v>44</v>
      </c>
      <c r="B71" s="129"/>
      <c r="C71" s="130">
        <f aca="true" t="shared" si="1" ref="C71:J71">SUM(C66:C70)</f>
        <v>27281500</v>
      </c>
      <c r="D71" s="130">
        <f>SUM(D66:D70)</f>
        <v>-3713778.21</v>
      </c>
      <c r="E71" s="130">
        <f>SUM(E66:E70)</f>
        <v>23567721.79</v>
      </c>
      <c r="F71" s="130">
        <f>SUM(F66:F70)</f>
        <v>0</v>
      </c>
      <c r="G71" s="130">
        <f>SUM(G66:G70)</f>
        <v>2050425.73</v>
      </c>
      <c r="H71" s="130">
        <f t="shared" si="1"/>
        <v>1383776.3299999998</v>
      </c>
      <c r="I71" s="130">
        <f t="shared" si="1"/>
        <v>3434202.06</v>
      </c>
      <c r="J71" s="130">
        <f t="shared" si="1"/>
        <v>20111536.209127277</v>
      </c>
      <c r="K71" s="77">
        <f>SUM(K66:K70)</f>
        <v>23545759.269127276</v>
      </c>
      <c r="L71" s="77">
        <f>SUM(L66:L70)</f>
        <v>21982.52087272331</v>
      </c>
      <c r="M71" s="77"/>
      <c r="N71" s="78"/>
    </row>
    <row r="72" spans="1:14" ht="16.5" thickTop="1">
      <c r="A72" s="179"/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</row>
    <row r="73" spans="1:14" ht="15">
      <c r="A73" s="181"/>
      <c r="B73" s="182"/>
      <c r="C73" s="182"/>
      <c r="D73" s="182"/>
      <c r="E73" s="182"/>
      <c r="F73" s="182"/>
      <c r="G73" s="182"/>
      <c r="H73" s="182"/>
      <c r="I73" s="128"/>
      <c r="J73" s="128"/>
      <c r="K73" s="19"/>
      <c r="L73" s="19"/>
      <c r="M73" s="19"/>
      <c r="N73" s="19"/>
    </row>
    <row r="74" spans="1:15" s="121" customFormat="1" ht="15.75">
      <c r="A74" s="133"/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31"/>
    </row>
    <row r="75" spans="2:15" s="121" customFormat="1" ht="15"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</row>
    <row r="79" spans="2:5" ht="15">
      <c r="B79" s="1"/>
      <c r="C79" s="2"/>
      <c r="D79" s="1"/>
      <c r="E79" s="13"/>
    </row>
    <row r="80" spans="2:5" ht="15">
      <c r="B80" s="1"/>
      <c r="C80" s="2"/>
      <c r="D80" s="1"/>
      <c r="E80" s="13"/>
    </row>
    <row r="81" spans="2:5" ht="15">
      <c r="B81" s="1"/>
      <c r="C81" s="2"/>
      <c r="D81" s="1"/>
      <c r="E81" s="13"/>
    </row>
    <row r="82" spans="2:5" ht="15">
      <c r="B82" s="1"/>
      <c r="C82" s="2"/>
      <c r="D82" s="1"/>
      <c r="E82" s="13"/>
    </row>
    <row r="83" spans="2:5" ht="15">
      <c r="B83" s="1"/>
      <c r="C83" s="2"/>
      <c r="D83" s="1"/>
      <c r="E83" s="13"/>
    </row>
    <row r="84" spans="2:5" ht="15">
      <c r="B84" s="1"/>
      <c r="C84" s="2"/>
      <c r="D84" s="1"/>
      <c r="E84" s="13"/>
    </row>
    <row r="86" spans="2:5" ht="15">
      <c r="B86" s="13"/>
      <c r="C86" s="2"/>
      <c r="D86" s="13"/>
      <c r="E86" s="13"/>
    </row>
  </sheetData>
  <mergeCells count="3">
    <mergeCell ref="B74:N74"/>
    <mergeCell ref="A72:N72"/>
    <mergeCell ref="A73:H73"/>
  </mergeCells>
  <printOptions horizontalCentered="1" verticalCentered="1"/>
  <pageMargins left="0.5" right="0.5" top="0.5" bottom="0.5" header="0.5" footer="0.5"/>
  <pageSetup horizontalDpi="600" verticalDpi="600" orientation="landscape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72"/>
  <sheetViews>
    <sheetView showOutlineSymbols="0" zoomScale="87" zoomScaleNormal="87" workbookViewId="0" topLeftCell="A31">
      <selection activeCell="A7" sqref="A7"/>
    </sheetView>
  </sheetViews>
  <sheetFormatPr defaultColWidth="8.77734375" defaultRowHeight="15"/>
  <cols>
    <col min="1" max="1" width="8.77734375" style="3" customWidth="1"/>
    <col min="2" max="2" width="32.4453125" style="3" customWidth="1"/>
    <col min="3" max="3" width="44.21484375" style="3" customWidth="1"/>
    <col min="4" max="4" width="9.6640625" style="3" bestFit="1" customWidth="1"/>
    <col min="5" max="5" width="10.10546875" style="3" bestFit="1" customWidth="1"/>
    <col min="6" max="6" width="10.99609375" style="3" customWidth="1"/>
    <col min="7" max="7" width="14.4453125" style="3" customWidth="1"/>
    <col min="8" max="8" width="12.6640625" style="3" customWidth="1"/>
    <col min="9" max="9" width="12.21484375" style="3" customWidth="1"/>
    <col min="10" max="11" width="14.4453125" style="3" customWidth="1"/>
    <col min="12" max="12" width="3.77734375" style="3" customWidth="1"/>
    <col min="13" max="16384" width="8.77734375" style="3" customWidth="1"/>
  </cols>
  <sheetData>
    <row r="1" spans="1:11" ht="15.75">
      <c r="A1" s="12" t="s">
        <v>88</v>
      </c>
      <c r="B1" s="104"/>
      <c r="C1" s="82"/>
      <c r="D1" s="82"/>
      <c r="E1" s="103"/>
      <c r="F1" s="102"/>
      <c r="G1" s="102"/>
      <c r="H1" s="102"/>
      <c r="I1" s="102"/>
      <c r="J1" s="102"/>
      <c r="K1" s="82"/>
    </row>
    <row r="2" spans="1:11" ht="15.75">
      <c r="A2" s="101" t="s">
        <v>79</v>
      </c>
      <c r="B2" s="104"/>
      <c r="C2" s="82"/>
      <c r="D2" s="82"/>
      <c r="E2" s="103"/>
      <c r="F2" s="102"/>
      <c r="G2" s="102"/>
      <c r="H2" s="102"/>
      <c r="I2" s="102"/>
      <c r="J2" s="102"/>
      <c r="K2" s="82"/>
    </row>
    <row r="3" spans="1:11" ht="15.75">
      <c r="A3" s="113" t="str">
        <f>MCB!$A$3</f>
        <v>FY 2012 Financial Report - November</v>
      </c>
      <c r="B3" s="104"/>
      <c r="C3" s="82"/>
      <c r="D3" s="82"/>
      <c r="E3" s="103"/>
      <c r="F3" s="102"/>
      <c r="G3" s="102"/>
      <c r="H3" s="102"/>
      <c r="I3" s="102"/>
      <c r="J3" s="102"/>
      <c r="K3" s="82"/>
    </row>
    <row r="4" spans="1:11" ht="15.75">
      <c r="A4" s="104"/>
      <c r="B4" s="104"/>
      <c r="C4" s="104"/>
      <c r="D4" s="105"/>
      <c r="E4" s="102"/>
      <c r="F4" s="106"/>
      <c r="G4" s="102"/>
      <c r="H4" s="102"/>
      <c r="I4" s="102"/>
      <c r="J4" s="102"/>
      <c r="K4" s="82"/>
    </row>
    <row r="5" spans="1:11" ht="15">
      <c r="A5" s="82"/>
      <c r="B5" s="82"/>
      <c r="C5" s="82"/>
      <c r="D5" s="83"/>
      <c r="E5" s="82"/>
      <c r="F5" s="84"/>
      <c r="G5" s="82"/>
      <c r="H5" s="82"/>
      <c r="I5" s="82"/>
      <c r="J5" s="82"/>
      <c r="K5" s="82"/>
    </row>
    <row r="6" spans="1:11" ht="15.75">
      <c r="A6" s="89" t="s">
        <v>45</v>
      </c>
      <c r="B6" s="82"/>
      <c r="C6" s="82"/>
      <c r="D6" s="83"/>
      <c r="E6" s="82"/>
      <c r="F6" s="84"/>
      <c r="G6" s="82"/>
      <c r="H6" s="82"/>
      <c r="I6" s="82"/>
      <c r="J6" s="82"/>
      <c r="K6" s="82"/>
    </row>
    <row r="7" spans="1:11" ht="15">
      <c r="A7" s="82"/>
      <c r="B7" s="82"/>
      <c r="C7" s="82"/>
      <c r="D7" s="83"/>
      <c r="E7" s="82"/>
      <c r="F7" s="84"/>
      <c r="G7" s="82"/>
      <c r="H7" s="82"/>
      <c r="I7" s="82"/>
      <c r="J7" s="82"/>
      <c r="K7" s="82"/>
    </row>
    <row r="8" spans="1:11" ht="15">
      <c r="A8" s="82" t="s">
        <v>46</v>
      </c>
      <c r="B8" s="114">
        <f>MCB!N6</f>
        <v>25</v>
      </c>
      <c r="C8" s="82" t="s">
        <v>47</v>
      </c>
      <c r="D8" s="114">
        <f>+MCB!N8</f>
        <v>23</v>
      </c>
      <c r="E8" s="82"/>
      <c r="F8" s="84"/>
      <c r="G8" s="82"/>
      <c r="H8" s="82"/>
      <c r="I8" s="82"/>
      <c r="J8" s="82"/>
      <c r="K8" s="82"/>
    </row>
    <row r="9" spans="1:11" ht="15">
      <c r="A9" s="82"/>
      <c r="B9" s="82"/>
      <c r="C9" s="82"/>
      <c r="D9" s="83"/>
      <c r="E9" s="82"/>
      <c r="F9" s="84"/>
      <c r="G9" s="82"/>
      <c r="H9" s="82"/>
      <c r="I9" s="82"/>
      <c r="J9" s="82"/>
      <c r="K9" s="82"/>
    </row>
    <row r="10" spans="1:11" ht="15.75">
      <c r="A10" s="82"/>
      <c r="B10" s="82"/>
      <c r="C10" s="82"/>
      <c r="D10" s="83"/>
      <c r="E10" s="82"/>
      <c r="F10" s="84"/>
      <c r="G10" s="103" t="s">
        <v>97</v>
      </c>
      <c r="H10" s="103" t="s">
        <v>48</v>
      </c>
      <c r="I10" s="103" t="s">
        <v>95</v>
      </c>
      <c r="J10" s="103" t="s">
        <v>25</v>
      </c>
      <c r="K10" s="82"/>
    </row>
    <row r="11" spans="1:11" ht="15.75">
      <c r="A11" s="82"/>
      <c r="B11" s="82"/>
      <c r="C11" s="82"/>
      <c r="D11" s="83"/>
      <c r="E11" s="82"/>
      <c r="F11" s="84"/>
      <c r="G11" s="103"/>
      <c r="H11" s="103"/>
      <c r="I11" s="103"/>
      <c r="J11" s="103"/>
      <c r="K11" s="82"/>
    </row>
    <row r="12" spans="1:11" ht="15">
      <c r="A12" s="82" t="s">
        <v>50</v>
      </c>
      <c r="B12" s="82"/>
      <c r="C12" s="82"/>
      <c r="D12" s="83"/>
      <c r="E12" s="82"/>
      <c r="F12" s="84"/>
      <c r="G12" s="88">
        <v>5185429</v>
      </c>
      <c r="H12" s="88">
        <v>1094955</v>
      </c>
      <c r="I12" s="88">
        <v>2621859</v>
      </c>
      <c r="J12" s="88">
        <f>I12+H12+G12</f>
        <v>8902243</v>
      </c>
      <c r="K12" s="82"/>
    </row>
    <row r="13" spans="1:11" ht="15.75">
      <c r="A13" s="82"/>
      <c r="B13" s="115"/>
      <c r="C13" s="82"/>
      <c r="D13" s="83"/>
      <c r="E13" s="82"/>
      <c r="F13" s="84"/>
      <c r="G13" s="82"/>
      <c r="H13" s="82"/>
      <c r="I13" s="82"/>
      <c r="J13" s="82"/>
      <c r="K13" s="82"/>
    </row>
    <row r="14" spans="1:11" ht="15.75">
      <c r="A14" s="82"/>
      <c r="B14" s="115" t="s">
        <v>96</v>
      </c>
      <c r="C14" s="82"/>
      <c r="D14" s="83"/>
      <c r="E14" s="82"/>
      <c r="F14" s="84"/>
      <c r="G14" s="82"/>
      <c r="H14" s="82"/>
      <c r="I14" s="82"/>
      <c r="J14" s="82"/>
      <c r="K14" s="82"/>
    </row>
    <row r="15" spans="1:11" ht="15.75">
      <c r="A15" s="89" t="s">
        <v>51</v>
      </c>
      <c r="B15" s="82"/>
      <c r="C15" s="82"/>
      <c r="D15" s="83"/>
      <c r="E15" s="82"/>
      <c r="F15" s="84"/>
      <c r="G15" s="82"/>
      <c r="H15" s="82"/>
      <c r="I15" s="82"/>
      <c r="J15" s="82"/>
      <c r="K15" s="82"/>
    </row>
    <row r="16" spans="1:11" ht="15">
      <c r="A16" s="82"/>
      <c r="B16" s="82"/>
      <c r="C16" s="82"/>
      <c r="D16" s="83"/>
      <c r="E16" s="82"/>
      <c r="F16" s="84"/>
      <c r="G16" s="82"/>
      <c r="H16" s="82"/>
      <c r="I16" s="82"/>
      <c r="J16" s="82"/>
      <c r="K16" s="82"/>
    </row>
    <row r="17" spans="1:11" ht="15">
      <c r="A17" s="82" t="s">
        <v>101</v>
      </c>
      <c r="B17" s="82"/>
      <c r="C17" s="82"/>
      <c r="D17" s="83"/>
      <c r="E17" s="82"/>
      <c r="F17" s="82"/>
      <c r="G17" s="82"/>
      <c r="H17" s="85"/>
      <c r="I17" s="85"/>
      <c r="J17" s="85"/>
      <c r="K17" s="82"/>
    </row>
    <row r="18" spans="1:11" ht="15">
      <c r="A18" s="82"/>
      <c r="B18" s="82"/>
      <c r="C18" s="82"/>
      <c r="D18" s="83"/>
      <c r="E18" s="82"/>
      <c r="F18" s="127" t="s">
        <v>52</v>
      </c>
      <c r="G18" s="126" t="s">
        <v>13</v>
      </c>
      <c r="H18" s="85"/>
      <c r="I18" s="85"/>
      <c r="J18" s="85"/>
      <c r="K18" s="82"/>
    </row>
    <row r="19" spans="1:11" ht="15">
      <c r="A19" s="124" t="s">
        <v>53</v>
      </c>
      <c r="B19" s="124" t="s">
        <v>54</v>
      </c>
      <c r="C19" s="124"/>
      <c r="D19" s="125" t="s">
        <v>56</v>
      </c>
      <c r="E19" s="126" t="s">
        <v>57</v>
      </c>
      <c r="F19" s="127" t="s">
        <v>58</v>
      </c>
      <c r="G19" s="126" t="s">
        <v>59</v>
      </c>
      <c r="H19" s="126" t="s">
        <v>48</v>
      </c>
      <c r="I19" s="126" t="s">
        <v>49</v>
      </c>
      <c r="J19" s="126" t="s">
        <v>25</v>
      </c>
      <c r="K19" s="82"/>
    </row>
    <row r="20" spans="1:11" s="136" customFormat="1" ht="15">
      <c r="A20" s="138" t="s">
        <v>251</v>
      </c>
      <c r="B20" s="82" t="s">
        <v>255</v>
      </c>
      <c r="C20" s="139" t="s">
        <v>252</v>
      </c>
      <c r="D20" s="91">
        <v>17.54</v>
      </c>
      <c r="E20" s="140">
        <f>+D20*40</f>
        <v>701.5999999999999</v>
      </c>
      <c r="F20" s="90"/>
      <c r="G20" s="140">
        <f>+E20*F20</f>
        <v>0</v>
      </c>
      <c r="H20" s="140">
        <f aca="true" t="shared" si="0" ref="H20:H27">+G20*0.25</f>
        <v>0</v>
      </c>
      <c r="I20" s="140">
        <f aca="true" t="shared" si="1" ref="I20:I27">+G20*0.369</f>
        <v>0</v>
      </c>
      <c r="J20" s="140">
        <f>SUM(G20:I20)</f>
        <v>0</v>
      </c>
      <c r="K20" s="82"/>
    </row>
    <row r="21" spans="1:11" s="136" customFormat="1" ht="15">
      <c r="A21" s="123">
        <v>40874</v>
      </c>
      <c r="B21" s="82" t="s">
        <v>267</v>
      </c>
      <c r="C21" s="139" t="s">
        <v>253</v>
      </c>
      <c r="D21" s="91">
        <v>17.54</v>
      </c>
      <c r="E21" s="140">
        <f>+D21*40</f>
        <v>701.5999999999999</v>
      </c>
      <c r="F21" s="90">
        <v>22</v>
      </c>
      <c r="G21" s="140">
        <f>+E21*F21</f>
        <v>15435.199999999997</v>
      </c>
      <c r="H21" s="140">
        <f t="shared" si="0"/>
        <v>3858.7999999999993</v>
      </c>
      <c r="I21" s="140">
        <f t="shared" si="1"/>
        <v>5695.588799999999</v>
      </c>
      <c r="J21" s="140">
        <f>SUM(G21:I21)</f>
        <v>24989.588799999994</v>
      </c>
      <c r="K21" s="82" t="s">
        <v>268</v>
      </c>
    </row>
    <row r="22" spans="1:11" ht="15">
      <c r="A22" s="123" t="s">
        <v>104</v>
      </c>
      <c r="B22" s="82" t="s">
        <v>256</v>
      </c>
      <c r="C22" s="139" t="s">
        <v>240</v>
      </c>
      <c r="D22" s="91">
        <v>16.61</v>
      </c>
      <c r="E22" s="140">
        <f aca="true" t="shared" si="2" ref="E22:E27">D22*80</f>
        <v>1328.8</v>
      </c>
      <c r="F22" s="90"/>
      <c r="G22" s="140">
        <f>E22*F22</f>
        <v>0</v>
      </c>
      <c r="H22" s="140">
        <f t="shared" si="0"/>
        <v>0</v>
      </c>
      <c r="I22" s="140">
        <f t="shared" si="1"/>
        <v>0</v>
      </c>
      <c r="J22" s="141">
        <f>I22+H22+G22</f>
        <v>0</v>
      </c>
      <c r="K22" s="82"/>
    </row>
    <row r="23" spans="1:11" ht="15">
      <c r="A23" s="123">
        <v>40931</v>
      </c>
      <c r="B23" s="82" t="s">
        <v>269</v>
      </c>
      <c r="C23" s="139" t="s">
        <v>270</v>
      </c>
      <c r="D23" s="91">
        <v>21.71</v>
      </c>
      <c r="E23" s="140">
        <f t="shared" si="2"/>
        <v>1736.8000000000002</v>
      </c>
      <c r="F23" s="90">
        <v>18</v>
      </c>
      <c r="G23" s="140">
        <f>+E23*F23</f>
        <v>31262.4</v>
      </c>
      <c r="H23" s="140">
        <f t="shared" si="0"/>
        <v>7815.6</v>
      </c>
      <c r="I23" s="140">
        <f t="shared" si="1"/>
        <v>11535.8256</v>
      </c>
      <c r="J23" s="140">
        <f aca="true" t="shared" si="3" ref="J23:J28">SUM(G23:I23)</f>
        <v>50613.8256</v>
      </c>
      <c r="K23" s="82"/>
    </row>
    <row r="24" spans="1:11" ht="15">
      <c r="A24" s="123">
        <v>40931</v>
      </c>
      <c r="B24" s="82" t="s">
        <v>271</v>
      </c>
      <c r="C24" s="139" t="s">
        <v>272</v>
      </c>
      <c r="D24" s="91">
        <v>21.57</v>
      </c>
      <c r="E24" s="140">
        <f t="shared" si="2"/>
        <v>1725.6</v>
      </c>
      <c r="F24" s="90">
        <v>18</v>
      </c>
      <c r="G24" s="140">
        <f>+E24*F24</f>
        <v>31060.8</v>
      </c>
      <c r="H24" s="140">
        <f t="shared" si="0"/>
        <v>7765.2</v>
      </c>
      <c r="I24" s="140">
        <f t="shared" si="1"/>
        <v>11461.4352</v>
      </c>
      <c r="J24" s="140">
        <f t="shared" si="3"/>
        <v>50287.4352</v>
      </c>
      <c r="K24" s="82"/>
    </row>
    <row r="25" spans="1:11" ht="15">
      <c r="A25" s="123">
        <v>40931</v>
      </c>
      <c r="B25" s="82" t="s">
        <v>271</v>
      </c>
      <c r="C25" s="139" t="s">
        <v>273</v>
      </c>
      <c r="D25" s="91">
        <v>21.57</v>
      </c>
      <c r="E25" s="140">
        <f t="shared" si="2"/>
        <v>1725.6</v>
      </c>
      <c r="F25" s="90">
        <v>18</v>
      </c>
      <c r="G25" s="140">
        <f>+E25*F25</f>
        <v>31060.8</v>
      </c>
      <c r="H25" s="140">
        <f t="shared" si="0"/>
        <v>7765.2</v>
      </c>
      <c r="I25" s="140">
        <f t="shared" si="1"/>
        <v>11461.4352</v>
      </c>
      <c r="J25" s="140">
        <f t="shared" si="3"/>
        <v>50287.4352</v>
      </c>
      <c r="K25" s="82"/>
    </row>
    <row r="26" spans="1:11" ht="15">
      <c r="A26" s="123">
        <v>40931</v>
      </c>
      <c r="B26" s="82" t="s">
        <v>274</v>
      </c>
      <c r="C26" s="139" t="s">
        <v>275</v>
      </c>
      <c r="D26" s="91">
        <v>27.25</v>
      </c>
      <c r="E26" s="140">
        <f t="shared" si="2"/>
        <v>2180</v>
      </c>
      <c r="F26" s="90">
        <v>18</v>
      </c>
      <c r="G26" s="140">
        <f>+E26*F26</f>
        <v>39240</v>
      </c>
      <c r="H26" s="140">
        <f t="shared" si="0"/>
        <v>9810</v>
      </c>
      <c r="I26" s="140">
        <f t="shared" si="1"/>
        <v>14479.56</v>
      </c>
      <c r="J26" s="140">
        <f t="shared" si="3"/>
        <v>63529.56</v>
      </c>
      <c r="K26" s="82"/>
    </row>
    <row r="27" spans="1:11" ht="15">
      <c r="A27" s="123">
        <v>40931</v>
      </c>
      <c r="B27" s="82" t="s">
        <v>276</v>
      </c>
      <c r="C27" s="139" t="s">
        <v>277</v>
      </c>
      <c r="D27" s="91">
        <v>17.31</v>
      </c>
      <c r="E27" s="140">
        <f t="shared" si="2"/>
        <v>1384.8</v>
      </c>
      <c r="F27" s="90">
        <v>18</v>
      </c>
      <c r="G27" s="140">
        <f>+E27*F27</f>
        <v>24926.399999999998</v>
      </c>
      <c r="H27" s="140">
        <f t="shared" si="0"/>
        <v>6231.599999999999</v>
      </c>
      <c r="I27" s="140">
        <f t="shared" si="1"/>
        <v>9197.8416</v>
      </c>
      <c r="J27" s="140">
        <f t="shared" si="3"/>
        <v>40355.8416</v>
      </c>
      <c r="K27" s="82"/>
    </row>
    <row r="28" spans="1:11" ht="15">
      <c r="A28" s="123"/>
      <c r="B28" s="82" t="s">
        <v>250</v>
      </c>
      <c r="C28" s="139"/>
      <c r="D28" s="91"/>
      <c r="E28" s="140"/>
      <c r="F28" s="90"/>
      <c r="G28" s="140"/>
      <c r="H28" s="140"/>
      <c r="I28" s="140">
        <v>728128.04</v>
      </c>
      <c r="J28" s="140">
        <f t="shared" si="3"/>
        <v>728128.04</v>
      </c>
      <c r="K28" s="82"/>
    </row>
    <row r="29" spans="1:11" ht="15.75" thickBot="1">
      <c r="A29" s="135"/>
      <c r="B29" s="82"/>
      <c r="C29" s="82" t="s">
        <v>44</v>
      </c>
      <c r="D29" s="83"/>
      <c r="E29" s="140"/>
      <c r="F29" s="84"/>
      <c r="G29" s="118">
        <f>SUM(G20:G28)</f>
        <v>172985.6</v>
      </c>
      <c r="H29" s="118">
        <f>SUM(H20:H28)</f>
        <v>43246.4</v>
      </c>
      <c r="I29" s="118">
        <f>SUM(I20:I28)</f>
        <v>791959.7264</v>
      </c>
      <c r="J29" s="118">
        <f>SUM(J20:J28)</f>
        <v>1008191.7264</v>
      </c>
      <c r="K29" s="82"/>
    </row>
    <row r="30" spans="1:11" ht="15.75" thickTop="1">
      <c r="A30" s="92"/>
      <c r="B30" s="82"/>
      <c r="C30" s="82"/>
      <c r="D30" s="83"/>
      <c r="E30" s="82"/>
      <c r="F30" s="84"/>
      <c r="G30" s="82"/>
      <c r="H30" s="82"/>
      <c r="I30" s="82"/>
      <c r="J30" s="82"/>
      <c r="K30" s="82"/>
    </row>
    <row r="31" spans="1:11" ht="15">
      <c r="A31" s="82"/>
      <c r="B31" s="82"/>
      <c r="C31" s="82"/>
      <c r="D31" s="83"/>
      <c r="E31" s="82"/>
      <c r="F31" s="84"/>
      <c r="G31" s="82"/>
      <c r="H31" s="82"/>
      <c r="I31" s="82"/>
      <c r="J31" s="82"/>
      <c r="K31" s="82"/>
    </row>
    <row r="32" spans="1:11" ht="11.25" customHeight="1">
      <c r="A32" s="82"/>
      <c r="B32" s="82"/>
      <c r="C32" s="82"/>
      <c r="D32" s="83"/>
      <c r="E32" s="82"/>
      <c r="F32" s="84"/>
      <c r="G32" s="82"/>
      <c r="H32" s="82"/>
      <c r="I32" s="82"/>
      <c r="J32" s="82"/>
      <c r="K32" s="82"/>
    </row>
    <row r="33" spans="1:11" ht="30">
      <c r="A33" s="82" t="s">
        <v>60</v>
      </c>
      <c r="B33" s="82"/>
      <c r="C33" s="82"/>
      <c r="D33" s="93" t="s">
        <v>61</v>
      </c>
      <c r="E33" s="85" t="s">
        <v>57</v>
      </c>
      <c r="F33" s="94" t="s">
        <v>62</v>
      </c>
      <c r="G33" s="95" t="s">
        <v>63</v>
      </c>
      <c r="H33" s="85" t="s">
        <v>48</v>
      </c>
      <c r="I33" s="85" t="s">
        <v>49</v>
      </c>
      <c r="J33" s="85" t="s">
        <v>25</v>
      </c>
      <c r="K33" s="82"/>
    </row>
    <row r="34" spans="1:11" ht="15">
      <c r="A34" s="82" t="s">
        <v>64</v>
      </c>
      <c r="B34" s="82"/>
      <c r="C34" s="82"/>
      <c r="D34" s="82"/>
      <c r="E34" s="82"/>
      <c r="F34" s="84"/>
      <c r="G34" s="85" t="s">
        <v>4</v>
      </c>
      <c r="H34" s="82"/>
      <c r="I34" s="82"/>
      <c r="J34" s="82"/>
      <c r="K34" s="82"/>
    </row>
    <row r="35" spans="1:11" ht="15">
      <c r="A35" s="82"/>
      <c r="C35" s="82"/>
      <c r="D35" s="82"/>
      <c r="E35" s="83">
        <f>+D35*80</f>
        <v>0</v>
      </c>
      <c r="F35" s="84"/>
      <c r="G35" s="140">
        <f>+E35*F35</f>
        <v>0</v>
      </c>
      <c r="H35" s="83">
        <f>+G35*0.25</f>
        <v>0</v>
      </c>
      <c r="I35" s="83">
        <f>+G35*0.3</f>
        <v>0</v>
      </c>
      <c r="J35" s="83">
        <f>SUM(G35:I35)</f>
        <v>0</v>
      </c>
      <c r="K35" s="82"/>
    </row>
    <row r="36" spans="1:11" ht="15">
      <c r="A36" s="82"/>
      <c r="B36" s="82"/>
      <c r="C36" s="82"/>
      <c r="D36" s="92"/>
      <c r="E36" s="82"/>
      <c r="F36" s="84"/>
      <c r="G36" s="82"/>
      <c r="H36" s="82"/>
      <c r="I36" s="82"/>
      <c r="J36" s="82"/>
      <c r="K36" s="82"/>
    </row>
    <row r="37" spans="1:11" ht="15">
      <c r="A37" s="82" t="s">
        <v>25</v>
      </c>
      <c r="B37" s="82"/>
      <c r="C37" s="82"/>
      <c r="D37" s="83"/>
      <c r="E37" s="92"/>
      <c r="F37" s="84"/>
      <c r="G37" s="83">
        <f>SUM(G35:G36)</f>
        <v>0</v>
      </c>
      <c r="H37" s="83">
        <f>SUM(H35:H36)</f>
        <v>0</v>
      </c>
      <c r="I37" s="83">
        <f>SUM(I35:I36)</f>
        <v>0</v>
      </c>
      <c r="J37" s="83">
        <f>SUM(J35:J36)</f>
        <v>0</v>
      </c>
      <c r="K37" s="82"/>
    </row>
    <row r="38" spans="1:11" ht="15">
      <c r="A38" s="82"/>
      <c r="B38" s="82"/>
      <c r="C38" s="82"/>
      <c r="D38" s="83"/>
      <c r="E38" s="92"/>
      <c r="F38" s="84"/>
      <c r="G38" s="82"/>
      <c r="H38" s="82"/>
      <c r="I38" s="82"/>
      <c r="J38" s="82"/>
      <c r="K38" s="82"/>
    </row>
    <row r="39" spans="1:11" ht="15">
      <c r="A39" s="82" t="s">
        <v>75</v>
      </c>
      <c r="B39" s="82"/>
      <c r="C39" s="96"/>
      <c r="D39" s="83"/>
      <c r="E39" s="92"/>
      <c r="F39" s="84"/>
      <c r="G39" s="97">
        <v>0</v>
      </c>
      <c r="H39" s="83">
        <v>0</v>
      </c>
      <c r="I39" s="83">
        <v>0</v>
      </c>
      <c r="J39" s="83">
        <f>SUM(H39:I39)</f>
        <v>0</v>
      </c>
      <c r="K39" s="82"/>
    </row>
    <row r="40" spans="1:11" ht="15">
      <c r="A40" s="82" t="s">
        <v>4</v>
      </c>
      <c r="B40" s="82"/>
      <c r="C40" s="82"/>
      <c r="D40" s="83"/>
      <c r="E40" s="82"/>
      <c r="F40" s="84"/>
      <c r="G40" s="82"/>
      <c r="H40" s="82"/>
      <c r="I40" s="82"/>
      <c r="J40" s="82"/>
      <c r="K40" s="82"/>
    </row>
    <row r="41" spans="1:11" ht="15.75">
      <c r="A41" s="89" t="s">
        <v>66</v>
      </c>
      <c r="B41" s="89"/>
      <c r="C41" s="89"/>
      <c r="D41" s="98"/>
      <c r="E41" s="89"/>
      <c r="F41" s="99"/>
      <c r="G41" s="98">
        <f>G37+G29+G39</f>
        <v>172985.6</v>
      </c>
      <c r="H41" s="98">
        <f>H37+H29+H39</f>
        <v>43246.4</v>
      </c>
      <c r="I41" s="98">
        <f>I37+I29+I39</f>
        <v>791959.7264</v>
      </c>
      <c r="J41" s="98">
        <f>J37+J29+J39</f>
        <v>1008191.7264</v>
      </c>
      <c r="K41" s="82"/>
    </row>
    <row r="42" spans="1:11" ht="15">
      <c r="A42" s="82"/>
      <c r="B42" s="82"/>
      <c r="C42" s="82"/>
      <c r="D42" s="83"/>
      <c r="E42" s="82"/>
      <c r="F42" s="84"/>
      <c r="G42" s="82"/>
      <c r="H42" s="82"/>
      <c r="I42" s="82"/>
      <c r="J42" s="82"/>
      <c r="K42" s="82"/>
    </row>
    <row r="43" spans="1:11" ht="15">
      <c r="A43" s="82"/>
      <c r="B43" s="82"/>
      <c r="C43" s="82"/>
      <c r="D43" s="83"/>
      <c r="E43" s="82"/>
      <c r="F43" s="84"/>
      <c r="G43" s="82"/>
      <c r="H43" s="82"/>
      <c r="I43" s="82"/>
      <c r="J43" s="82"/>
      <c r="K43" s="82"/>
    </row>
    <row r="44" spans="1:11" ht="15.75">
      <c r="A44" s="89" t="s">
        <v>67</v>
      </c>
      <c r="B44" s="82"/>
      <c r="C44" s="82"/>
      <c r="D44" s="83"/>
      <c r="E44" s="82"/>
      <c r="F44" s="84"/>
      <c r="G44" s="82"/>
      <c r="H44" s="82"/>
      <c r="I44" s="82"/>
      <c r="J44" s="82"/>
      <c r="K44" s="82"/>
    </row>
    <row r="45" spans="1:11" ht="15.75">
      <c r="A45" s="89"/>
      <c r="B45" s="82"/>
      <c r="C45" s="82"/>
      <c r="D45" s="83"/>
      <c r="E45" s="82"/>
      <c r="F45" s="84"/>
      <c r="G45" s="82"/>
      <c r="H45" s="82"/>
      <c r="I45" s="82"/>
      <c r="J45" s="82"/>
      <c r="K45" s="82"/>
    </row>
    <row r="46" spans="1:11" ht="15">
      <c r="A46" s="82" t="s">
        <v>77</v>
      </c>
      <c r="B46" s="82"/>
      <c r="C46" s="82"/>
      <c r="D46" s="83"/>
      <c r="E46" s="82"/>
      <c r="F46" s="84"/>
      <c r="G46" s="82"/>
      <c r="H46" s="82"/>
      <c r="I46" s="82"/>
      <c r="J46" s="82"/>
      <c r="K46" s="82"/>
    </row>
    <row r="47" spans="1:11" ht="15">
      <c r="A47" s="82"/>
      <c r="B47" s="82"/>
      <c r="C47" s="82"/>
      <c r="D47" s="83"/>
      <c r="E47" s="82"/>
      <c r="F47" s="127" t="s">
        <v>52</v>
      </c>
      <c r="G47" s="126" t="s">
        <v>13</v>
      </c>
      <c r="H47" s="85"/>
      <c r="I47" s="85"/>
      <c r="J47" s="85"/>
      <c r="K47" s="82"/>
    </row>
    <row r="48" spans="1:11" ht="15">
      <c r="A48" s="124" t="s">
        <v>53</v>
      </c>
      <c r="B48" s="124" t="s">
        <v>103</v>
      </c>
      <c r="C48" s="124" t="s">
        <v>55</v>
      </c>
      <c r="D48" s="125" t="s">
        <v>56</v>
      </c>
      <c r="E48" s="126" t="s">
        <v>57</v>
      </c>
      <c r="F48" s="127" t="s">
        <v>58</v>
      </c>
      <c r="G48" s="126" t="s">
        <v>59</v>
      </c>
      <c r="H48" s="126" t="s">
        <v>48</v>
      </c>
      <c r="I48" s="126" t="s">
        <v>49</v>
      </c>
      <c r="J48" s="126" t="s">
        <v>25</v>
      </c>
      <c r="K48" s="82"/>
    </row>
    <row r="49" spans="1:11" s="136" customFormat="1" ht="15">
      <c r="A49" s="82"/>
      <c r="B49" s="82"/>
      <c r="C49" s="82"/>
      <c r="D49" s="91"/>
      <c r="E49" s="116">
        <f>D49*80</f>
        <v>0</v>
      </c>
      <c r="F49" s="90">
        <v>0</v>
      </c>
      <c r="G49" s="116">
        <f>E49*F49</f>
        <v>0</v>
      </c>
      <c r="H49" s="116">
        <f>F49*438</f>
        <v>0</v>
      </c>
      <c r="I49" s="116">
        <f>G49*0.3777</f>
        <v>0</v>
      </c>
      <c r="J49" s="117">
        <f>I49+H49+G49</f>
        <v>0</v>
      </c>
      <c r="K49" s="82"/>
    </row>
    <row r="50" spans="1:11" ht="15.75" thickBot="1">
      <c r="A50" s="82"/>
      <c r="B50" s="82" t="s">
        <v>25</v>
      </c>
      <c r="C50" s="82"/>
      <c r="D50" s="83"/>
      <c r="E50" s="82" t="s">
        <v>4</v>
      </c>
      <c r="F50" s="84" t="s">
        <v>4</v>
      </c>
      <c r="G50" s="137">
        <f>SUM(G49:G49)</f>
        <v>0</v>
      </c>
      <c r="H50" s="137">
        <f>SUM(H49:H49)</f>
        <v>0</v>
      </c>
      <c r="I50" s="137">
        <f>SUM(I49:I49)</f>
        <v>0</v>
      </c>
      <c r="J50" s="137">
        <f>SUM(J49:J49)</f>
        <v>0</v>
      </c>
      <c r="K50" s="82"/>
    </row>
    <row r="51" spans="1:11" ht="15.75" thickTop="1">
      <c r="A51" s="82"/>
      <c r="B51" s="82"/>
      <c r="C51" s="82"/>
      <c r="D51" s="83"/>
      <c r="E51" s="82"/>
      <c r="F51" s="84"/>
      <c r="G51" s="82"/>
      <c r="H51" s="82"/>
      <c r="I51" s="82"/>
      <c r="J51" s="82"/>
      <c r="K51" s="82"/>
    </row>
    <row r="52" spans="1:11" ht="15">
      <c r="A52" s="82" t="s">
        <v>68</v>
      </c>
      <c r="B52" s="82"/>
      <c r="C52" s="82"/>
      <c r="D52" s="83"/>
      <c r="E52" s="82"/>
      <c r="F52" s="84"/>
      <c r="G52" s="82"/>
      <c r="H52" s="82"/>
      <c r="I52" s="82"/>
      <c r="J52" s="82"/>
      <c r="K52" s="82"/>
    </row>
    <row r="53" spans="1:11" ht="15">
      <c r="A53" s="82" t="s">
        <v>69</v>
      </c>
      <c r="B53" s="82"/>
      <c r="C53" s="83">
        <v>0</v>
      </c>
      <c r="D53" s="83" t="s">
        <v>105</v>
      </c>
      <c r="E53" s="82"/>
      <c r="F53" s="84"/>
      <c r="G53" s="96">
        <v>0</v>
      </c>
      <c r="H53" s="96">
        <v>0</v>
      </c>
      <c r="I53" s="83">
        <f>+C53*0.18*16.2</f>
        <v>0</v>
      </c>
      <c r="J53" s="96">
        <v>0</v>
      </c>
      <c r="K53" s="82"/>
    </row>
    <row r="54" spans="1:11" ht="15">
      <c r="A54" s="82"/>
      <c r="B54" s="82"/>
      <c r="C54" s="82"/>
      <c r="D54" s="83"/>
      <c r="E54" s="82"/>
      <c r="F54" s="84"/>
      <c r="G54" s="82"/>
      <c r="H54" s="82"/>
      <c r="I54" s="82"/>
      <c r="J54" s="82"/>
      <c r="K54" s="82"/>
    </row>
    <row r="55" spans="1:11" ht="15">
      <c r="A55" s="82" t="s">
        <v>70</v>
      </c>
      <c r="B55" s="82"/>
      <c r="C55" s="82"/>
      <c r="D55" s="83"/>
      <c r="E55" s="82"/>
      <c r="F55" s="84"/>
      <c r="G55" s="96">
        <v>0</v>
      </c>
      <c r="H55" s="96">
        <v>0</v>
      </c>
      <c r="I55" s="96">
        <v>0</v>
      </c>
      <c r="J55" s="96">
        <v>0</v>
      </c>
      <c r="K55" s="82"/>
    </row>
    <row r="56" spans="1:11" ht="15">
      <c r="A56" s="82" t="s">
        <v>71</v>
      </c>
      <c r="B56" s="82"/>
      <c r="C56" s="82"/>
      <c r="D56" s="83"/>
      <c r="E56" s="82"/>
      <c r="F56" s="84"/>
      <c r="G56" s="82"/>
      <c r="H56" s="82"/>
      <c r="I56" s="82"/>
      <c r="J56" s="82"/>
      <c r="K56" s="82"/>
    </row>
    <row r="57" spans="1:11" ht="15">
      <c r="A57" s="82"/>
      <c r="B57" s="82"/>
      <c r="C57" s="82"/>
      <c r="D57" s="83"/>
      <c r="E57" s="82"/>
      <c r="F57" s="84"/>
      <c r="G57" s="82"/>
      <c r="H57" s="82"/>
      <c r="I57" s="82"/>
      <c r="J57" s="82"/>
      <c r="K57" s="82"/>
    </row>
    <row r="58" spans="1:11" ht="15">
      <c r="A58" s="82" t="s">
        <v>76</v>
      </c>
      <c r="B58" s="82"/>
      <c r="C58" s="82"/>
      <c r="D58" s="83"/>
      <c r="E58" s="82"/>
      <c r="F58" s="84"/>
      <c r="G58" s="96">
        <v>0</v>
      </c>
      <c r="H58" s="96">
        <v>0</v>
      </c>
      <c r="I58" s="96">
        <v>0</v>
      </c>
      <c r="J58" s="83">
        <f>SUM(G58:I58)</f>
        <v>0</v>
      </c>
      <c r="K58" s="82"/>
    </row>
    <row r="59" spans="1:11" ht="15">
      <c r="A59" s="82"/>
      <c r="B59" s="82"/>
      <c r="C59" s="82"/>
      <c r="D59" s="83"/>
      <c r="E59" s="82"/>
      <c r="F59" s="84"/>
      <c r="G59" s="82"/>
      <c r="H59" s="82"/>
      <c r="I59" s="82"/>
      <c r="J59" s="82"/>
      <c r="K59" s="82"/>
    </row>
    <row r="60" spans="1:11" ht="15">
      <c r="A60" s="82" t="s">
        <v>65</v>
      </c>
      <c r="B60" s="82"/>
      <c r="C60" s="82"/>
      <c r="D60" s="83"/>
      <c r="E60" s="82"/>
      <c r="F60" s="84"/>
      <c r="G60" s="83">
        <v>0</v>
      </c>
      <c r="H60" s="83">
        <v>0</v>
      </c>
      <c r="I60" s="83">
        <v>0</v>
      </c>
      <c r="J60" s="83">
        <v>0</v>
      </c>
      <c r="K60" s="82"/>
    </row>
    <row r="61" spans="1:11" ht="15">
      <c r="A61" s="82"/>
      <c r="B61" s="82"/>
      <c r="C61" s="82"/>
      <c r="D61" s="83"/>
      <c r="E61" s="82"/>
      <c r="F61" s="84"/>
      <c r="G61" s="82"/>
      <c r="H61" s="82"/>
      <c r="I61" s="82"/>
      <c r="J61" s="82"/>
      <c r="K61" s="82"/>
    </row>
    <row r="62" spans="1:11" ht="15.75">
      <c r="A62" s="89" t="s">
        <v>72</v>
      </c>
      <c r="B62" s="82"/>
      <c r="C62" s="82"/>
      <c r="D62" s="82"/>
      <c r="E62" s="82"/>
      <c r="F62" s="82" t="s">
        <v>4</v>
      </c>
      <c r="G62" s="98">
        <f>SUM(G50:G60)</f>
        <v>0</v>
      </c>
      <c r="H62" s="98">
        <f>SUM(H50:H60)</f>
        <v>0</v>
      </c>
      <c r="I62" s="98">
        <f>SUM(I50:I60)</f>
        <v>0</v>
      </c>
      <c r="J62" s="86">
        <f>SUM(G62:I62)</f>
        <v>0</v>
      </c>
      <c r="K62" s="82"/>
    </row>
    <row r="63" spans="1:11" ht="15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</row>
    <row r="64" spans="1:11" ht="15">
      <c r="A64" s="82"/>
      <c r="B64" s="82"/>
      <c r="C64" s="82"/>
      <c r="D64" s="82"/>
      <c r="E64" s="82"/>
      <c r="F64" s="82"/>
      <c r="G64" s="82"/>
      <c r="H64" s="82"/>
      <c r="I64" s="82"/>
      <c r="J64" s="82"/>
      <c r="K64" s="82"/>
    </row>
    <row r="65" spans="1:11" ht="15.75">
      <c r="A65" s="89" t="s">
        <v>73</v>
      </c>
      <c r="B65" s="82"/>
      <c r="C65" s="82"/>
      <c r="D65" s="82"/>
      <c r="E65" s="82"/>
      <c r="F65" s="82"/>
      <c r="G65" s="98">
        <f>G41-G62</f>
        <v>172985.6</v>
      </c>
      <c r="H65" s="98">
        <f>H41-H62</f>
        <v>43246.4</v>
      </c>
      <c r="I65" s="98">
        <f>I41-I62</f>
        <v>791959.7264</v>
      </c>
      <c r="J65" s="98">
        <f>I65+H65+G65</f>
        <v>1008191.7264</v>
      </c>
      <c r="K65" s="82"/>
    </row>
    <row r="66" spans="1:11" ht="15">
      <c r="A66" s="82"/>
      <c r="B66" s="82"/>
      <c r="C66" s="82"/>
      <c r="D66" s="82"/>
      <c r="E66" s="82"/>
      <c r="F66" s="82"/>
      <c r="G66" s="82"/>
      <c r="H66" s="82"/>
      <c r="I66" s="82"/>
      <c r="J66" s="82"/>
      <c r="K66" s="82"/>
    </row>
    <row r="67" spans="1:11" ht="16.5" thickBot="1">
      <c r="A67" s="89" t="s">
        <v>74</v>
      </c>
      <c r="B67" s="82"/>
      <c r="C67" s="82"/>
      <c r="D67" s="82"/>
      <c r="E67" s="82"/>
      <c r="F67" s="82"/>
      <c r="G67" s="100">
        <f>G12+G65</f>
        <v>5358414.6</v>
      </c>
      <c r="H67" s="100">
        <f>H12+H65</f>
        <v>1138201.4</v>
      </c>
      <c r="I67" s="100">
        <f>I12+I65</f>
        <v>3413818.7264</v>
      </c>
      <c r="J67" s="100">
        <f>I67+H67+G67</f>
        <v>9910434.7264</v>
      </c>
      <c r="K67" s="82"/>
    </row>
    <row r="68" spans="1:11" ht="15.75" thickTop="1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</row>
    <row r="69" spans="1:11" ht="15">
      <c r="A69" s="82"/>
      <c r="B69" s="82"/>
      <c r="C69" s="82"/>
      <c r="D69" s="82"/>
      <c r="E69" s="82"/>
      <c r="F69" s="82"/>
      <c r="G69" s="96"/>
      <c r="H69" s="96"/>
      <c r="I69" s="96"/>
      <c r="J69" s="87"/>
      <c r="K69" s="82"/>
    </row>
    <row r="70" spans="1:11" ht="15">
      <c r="A70" s="107"/>
      <c r="B70" s="107"/>
      <c r="C70" s="107"/>
      <c r="D70" s="107"/>
      <c r="E70" s="107"/>
      <c r="F70" s="107"/>
      <c r="G70" s="107"/>
      <c r="H70" s="107"/>
      <c r="I70" s="107"/>
      <c r="J70" s="107"/>
      <c r="K70" s="107"/>
    </row>
    <row r="71" spans="1:11" ht="15">
      <c r="A71" s="107"/>
      <c r="B71" s="107"/>
      <c r="C71" s="107"/>
      <c r="D71" s="107"/>
      <c r="E71" s="107"/>
      <c r="F71" s="107"/>
      <c r="G71" s="107"/>
      <c r="H71" s="107"/>
      <c r="I71" s="107"/>
      <c r="J71" s="107"/>
      <c r="K71" s="107"/>
    </row>
    <row r="72" spans="1:11" ht="15">
      <c r="A72" s="107"/>
      <c r="B72" s="107"/>
      <c r="C72" s="107"/>
      <c r="D72" s="107"/>
      <c r="E72" s="107"/>
      <c r="F72" s="107"/>
      <c r="G72" s="107"/>
      <c r="H72" s="107"/>
      <c r="I72" s="107"/>
      <c r="J72" s="107"/>
      <c r="K72" s="107"/>
    </row>
  </sheetData>
  <printOptions horizontalCentered="1"/>
  <pageMargins left="0.5" right="0.5" top="0.75" bottom="0.75" header="0.5" footer="0.5"/>
  <pageSetup fitToHeight="1" fitToWidth="1" horizontalDpi="600" verticalDpi="600" orientation="portrait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206"/>
  <sheetViews>
    <sheetView zoomScale="67" zoomScaleNormal="67" workbookViewId="0" topLeftCell="A1">
      <selection activeCell="E178" sqref="E178"/>
    </sheetView>
  </sheetViews>
  <sheetFormatPr defaultColWidth="9.77734375" defaultRowHeight="15"/>
  <cols>
    <col min="1" max="1" width="5.77734375" style="146" customWidth="1"/>
    <col min="2" max="2" width="38.3359375" style="146" customWidth="1"/>
    <col min="3" max="3" width="10.77734375" style="149" customWidth="1"/>
    <col min="4" max="4" width="11.77734375" style="149" customWidth="1"/>
    <col min="5" max="5" width="12.77734375" style="149" customWidth="1"/>
    <col min="6" max="6" width="11.77734375" style="149" customWidth="1"/>
    <col min="7" max="7" width="13.21484375" style="149" bestFit="1" customWidth="1"/>
    <col min="8" max="8" width="11.77734375" style="149" customWidth="1"/>
    <col min="9" max="9" width="12.77734375" style="149" customWidth="1"/>
    <col min="10" max="16384" width="9.77734375" style="146" customWidth="1"/>
  </cols>
  <sheetData>
    <row r="1" spans="1:9" ht="15.75">
      <c r="A1" s="143" t="s">
        <v>260</v>
      </c>
      <c r="B1" s="144"/>
      <c r="C1" s="145"/>
      <c r="D1" s="145"/>
      <c r="E1" s="145"/>
      <c r="F1" s="145"/>
      <c r="G1" s="145"/>
      <c r="H1" s="145"/>
      <c r="I1" s="145"/>
    </row>
    <row r="2" spans="1:9" ht="15.75">
      <c r="A2" s="147" t="s">
        <v>258</v>
      </c>
      <c r="B2" s="144"/>
      <c r="C2" s="145"/>
      <c r="D2" s="145"/>
      <c r="E2" s="145"/>
      <c r="F2" s="145"/>
      <c r="G2" s="145"/>
      <c r="H2" s="145"/>
      <c r="I2" s="145"/>
    </row>
    <row r="3" spans="1:9" ht="15">
      <c r="A3" s="144"/>
      <c r="B3" s="144"/>
      <c r="C3" s="145"/>
      <c r="D3" s="145"/>
      <c r="E3" s="145"/>
      <c r="F3" s="145"/>
      <c r="G3" s="145"/>
      <c r="H3" s="145"/>
      <c r="I3" s="145"/>
    </row>
    <row r="5" spans="1:2" ht="15.75">
      <c r="A5" s="148">
        <v>11</v>
      </c>
      <c r="B5" s="148" t="s">
        <v>106</v>
      </c>
    </row>
    <row r="6" spans="1:2" ht="15.75">
      <c r="A6" s="148">
        <f>12-A5</f>
        <v>1</v>
      </c>
      <c r="B6" s="148" t="s">
        <v>107</v>
      </c>
    </row>
    <row r="7" spans="1:2" ht="15.75">
      <c r="A7" s="148">
        <f>13-A5</f>
        <v>2</v>
      </c>
      <c r="B7" s="148" t="s">
        <v>108</v>
      </c>
    </row>
    <row r="8" spans="1:9" ht="15.75">
      <c r="A8" s="150"/>
      <c r="B8" s="150"/>
      <c r="C8" s="151" t="s">
        <v>109</v>
      </c>
      <c r="D8" s="151" t="s">
        <v>109</v>
      </c>
      <c r="E8" s="152" t="s">
        <v>110</v>
      </c>
      <c r="F8" s="151" t="s">
        <v>111</v>
      </c>
      <c r="G8" s="153"/>
      <c r="H8" s="153" t="s">
        <v>112</v>
      </c>
      <c r="I8" s="153" t="s">
        <v>24</v>
      </c>
    </row>
    <row r="9" spans="1:9" ht="15.75">
      <c r="A9" s="150"/>
      <c r="B9" s="150"/>
      <c r="C9" s="151" t="s">
        <v>259</v>
      </c>
      <c r="D9" s="151" t="s">
        <v>25</v>
      </c>
      <c r="E9" s="151" t="str">
        <f>+C9</f>
        <v>Oct-August</v>
      </c>
      <c r="F9" s="151" t="s">
        <v>23</v>
      </c>
      <c r="G9" s="153" t="s">
        <v>113</v>
      </c>
      <c r="H9" s="153" t="s">
        <v>23</v>
      </c>
      <c r="I9" s="153"/>
    </row>
    <row r="11" spans="1:9" s="154" customFormat="1" ht="15.75">
      <c r="A11" s="154" t="s">
        <v>114</v>
      </c>
      <c r="C11" s="155"/>
      <c r="D11" s="155"/>
      <c r="E11" s="155"/>
      <c r="F11" s="155"/>
      <c r="G11" s="155"/>
      <c r="H11" s="155"/>
      <c r="I11" s="155"/>
    </row>
    <row r="12" spans="3:9" s="154" customFormat="1" ht="15.75">
      <c r="C12" s="155"/>
      <c r="D12" s="155"/>
      <c r="E12" s="155"/>
      <c r="F12" s="155"/>
      <c r="G12" s="155"/>
      <c r="H12" s="155"/>
      <c r="I12" s="155"/>
    </row>
    <row r="13" spans="1:9" s="154" customFormat="1" ht="15.75">
      <c r="A13" s="156">
        <v>3250</v>
      </c>
      <c r="B13" s="156" t="s">
        <v>115</v>
      </c>
      <c r="C13" s="157">
        <v>0</v>
      </c>
      <c r="D13" s="158">
        <v>988</v>
      </c>
      <c r="E13" s="157">
        <v>2988.55</v>
      </c>
      <c r="F13" s="158">
        <f aca="true" t="shared" si="0" ref="F13:F18">E13/$A$5*$A$7</f>
        <v>543.3727272727273</v>
      </c>
      <c r="G13" s="158">
        <v>-543</v>
      </c>
      <c r="H13" s="158">
        <f aca="true" t="shared" si="1" ref="H13:H18">SUM(E13:G13)</f>
        <v>2988.9227272727276</v>
      </c>
      <c r="I13" s="155"/>
    </row>
    <row r="14" spans="1:9" s="154" customFormat="1" ht="15.75">
      <c r="A14" s="156">
        <v>3255</v>
      </c>
      <c r="B14" s="156" t="s">
        <v>116</v>
      </c>
      <c r="C14" s="157">
        <v>441.12</v>
      </c>
      <c r="D14" s="158">
        <v>441.12</v>
      </c>
      <c r="E14" s="157">
        <v>0</v>
      </c>
      <c r="F14" s="158">
        <f t="shared" si="0"/>
        <v>0</v>
      </c>
      <c r="G14" s="158">
        <v>0</v>
      </c>
      <c r="H14" s="158">
        <f t="shared" si="1"/>
        <v>0</v>
      </c>
      <c r="I14" s="155"/>
    </row>
    <row r="15" spans="1:9" s="154" customFormat="1" ht="15.75">
      <c r="A15" s="156">
        <v>3290</v>
      </c>
      <c r="B15" s="156" t="s">
        <v>117</v>
      </c>
      <c r="C15" s="157">
        <v>33066.17</v>
      </c>
      <c r="D15" s="158">
        <v>39386.17</v>
      </c>
      <c r="E15" s="157">
        <v>-180702.92</v>
      </c>
      <c r="F15" s="158">
        <f t="shared" si="0"/>
        <v>-32855.07636363636</v>
      </c>
      <c r="G15" s="158">
        <v>32855</v>
      </c>
      <c r="H15" s="158">
        <f t="shared" si="1"/>
        <v>-180702.99636363637</v>
      </c>
      <c r="I15" s="155"/>
    </row>
    <row r="16" spans="1:9" s="154" customFormat="1" ht="15.75">
      <c r="A16" s="156">
        <v>3310</v>
      </c>
      <c r="B16" s="156" t="s">
        <v>118</v>
      </c>
      <c r="C16" s="157">
        <v>0</v>
      </c>
      <c r="D16" s="158">
        <v>29510</v>
      </c>
      <c r="E16" s="157">
        <v>155254.11</v>
      </c>
      <c r="F16" s="158">
        <f t="shared" si="0"/>
        <v>28228.019999999997</v>
      </c>
      <c r="G16" s="158">
        <v>-28228</v>
      </c>
      <c r="H16" s="158">
        <f t="shared" si="1"/>
        <v>155254.12999999998</v>
      </c>
      <c r="I16" s="155"/>
    </row>
    <row r="17" spans="1:9" s="154" customFormat="1" ht="15.75">
      <c r="A17" s="156">
        <v>3330</v>
      </c>
      <c r="B17" s="156" t="s">
        <v>119</v>
      </c>
      <c r="C17" s="157">
        <v>0</v>
      </c>
      <c r="D17" s="158">
        <v>1100</v>
      </c>
      <c r="E17" s="157">
        <v>26474.2</v>
      </c>
      <c r="F17" s="158">
        <f t="shared" si="0"/>
        <v>4813.49090909091</v>
      </c>
      <c r="G17" s="158">
        <v>-4813</v>
      </c>
      <c r="H17" s="158">
        <f t="shared" si="1"/>
        <v>26474.69090909091</v>
      </c>
      <c r="I17" s="155"/>
    </row>
    <row r="18" spans="1:10" s="154" customFormat="1" ht="15.75">
      <c r="A18" s="156">
        <v>5200</v>
      </c>
      <c r="B18" s="156" t="s">
        <v>241</v>
      </c>
      <c r="C18" s="157">
        <v>0</v>
      </c>
      <c r="D18" s="158">
        <v>0</v>
      </c>
      <c r="E18" s="157">
        <v>39425.99</v>
      </c>
      <c r="F18" s="158">
        <f t="shared" si="0"/>
        <v>7168.361818181817</v>
      </c>
      <c r="G18" s="158">
        <v>-2228</v>
      </c>
      <c r="H18" s="158">
        <f t="shared" si="1"/>
        <v>44366.351818181814</v>
      </c>
      <c r="I18" s="155"/>
      <c r="J18" s="154" t="s">
        <v>246</v>
      </c>
    </row>
    <row r="19" spans="3:9" ht="15">
      <c r="C19" s="159"/>
      <c r="D19" s="160"/>
      <c r="E19" s="159"/>
      <c r="F19" s="158"/>
      <c r="G19" s="158"/>
      <c r="H19" s="158"/>
      <c r="I19" s="158"/>
    </row>
    <row r="20" spans="3:9" ht="15">
      <c r="C20" s="142">
        <f aca="true" t="shared" si="2" ref="C20:I20">SUM(C13:C19)</f>
        <v>33507.29</v>
      </c>
      <c r="D20" s="142">
        <f t="shared" si="2"/>
        <v>71425.29000000001</v>
      </c>
      <c r="E20" s="142">
        <f t="shared" si="2"/>
        <v>43439.929999999964</v>
      </c>
      <c r="F20" s="142">
        <f t="shared" si="2"/>
        <v>7898.169090909088</v>
      </c>
      <c r="G20" s="142">
        <f t="shared" si="2"/>
        <v>-2957</v>
      </c>
      <c r="H20" s="142">
        <f t="shared" si="2"/>
        <v>48381.09909090906</v>
      </c>
      <c r="I20" s="142">
        <f t="shared" si="2"/>
        <v>0</v>
      </c>
    </row>
    <row r="22" spans="1:9" ht="15.75">
      <c r="A22" s="148" t="s">
        <v>120</v>
      </c>
      <c r="B22" s="150"/>
      <c r="C22" s="158"/>
      <c r="D22" s="158"/>
      <c r="E22" s="158"/>
      <c r="F22" s="158"/>
      <c r="G22" s="158"/>
      <c r="H22" s="158"/>
      <c r="I22" s="158"/>
    </row>
    <row r="23" spans="1:9" ht="15.75">
      <c r="A23" s="148"/>
      <c r="B23" s="150"/>
      <c r="C23" s="158"/>
      <c r="D23" s="158"/>
      <c r="E23" s="158"/>
      <c r="F23" s="158"/>
      <c r="G23" s="158"/>
      <c r="H23" s="158"/>
      <c r="I23" s="158"/>
    </row>
    <row r="24" spans="1:9" ht="15">
      <c r="A24" s="169" t="s">
        <v>187</v>
      </c>
      <c r="B24" s="168" t="s">
        <v>188</v>
      </c>
      <c r="C24" s="157">
        <v>43519.47</v>
      </c>
      <c r="D24" s="158">
        <v>55310.47</v>
      </c>
      <c r="E24" s="157">
        <v>32447.68</v>
      </c>
      <c r="F24" s="158">
        <f aca="true" t="shared" si="3" ref="F24:F43">E24/$A$5*$A$7</f>
        <v>5899.578181818182</v>
      </c>
      <c r="G24" s="158">
        <v>5592</v>
      </c>
      <c r="H24" s="158">
        <f>SUM(E24:G24)</f>
        <v>43939.25818181818</v>
      </c>
      <c r="I24" s="158"/>
    </row>
    <row r="25" spans="1:9" ht="15">
      <c r="A25" s="150">
        <v>4805</v>
      </c>
      <c r="B25" s="150" t="s">
        <v>121</v>
      </c>
      <c r="C25" s="157">
        <v>174899.23</v>
      </c>
      <c r="D25" s="158">
        <v>213378.42</v>
      </c>
      <c r="E25" s="157">
        <v>192696.09</v>
      </c>
      <c r="F25" s="158">
        <f t="shared" si="3"/>
        <v>35035.652727272725</v>
      </c>
      <c r="G25" s="158">
        <v>3443</v>
      </c>
      <c r="H25" s="158">
        <f aca="true" t="shared" si="4" ref="H25:H42">SUM(E25:G25)</f>
        <v>231174.74272727274</v>
      </c>
      <c r="I25" s="158"/>
    </row>
    <row r="26" spans="1:9" ht="15">
      <c r="A26" s="150">
        <v>4806</v>
      </c>
      <c r="B26" s="150" t="s">
        <v>122</v>
      </c>
      <c r="C26" s="157">
        <v>4360.64</v>
      </c>
      <c r="D26" s="158">
        <v>5303.68</v>
      </c>
      <c r="E26" s="157">
        <v>5219.28</v>
      </c>
      <c r="F26" s="158">
        <f t="shared" si="3"/>
        <v>948.9599999999999</v>
      </c>
      <c r="G26" s="158">
        <v>-6</v>
      </c>
      <c r="H26" s="158">
        <f t="shared" si="4"/>
        <v>6162.24</v>
      </c>
      <c r="I26" s="158"/>
    </row>
    <row r="27" spans="1:9" ht="15">
      <c r="A27" s="150">
        <v>4810</v>
      </c>
      <c r="B27" s="150" t="s">
        <v>123</v>
      </c>
      <c r="C27" s="157">
        <v>18919.07</v>
      </c>
      <c r="D27" s="158">
        <v>19201.78</v>
      </c>
      <c r="E27" s="157">
        <v>0</v>
      </c>
      <c r="F27" s="158">
        <f t="shared" si="3"/>
        <v>0</v>
      </c>
      <c r="G27" s="158">
        <v>283</v>
      </c>
      <c r="H27" s="158">
        <f t="shared" si="4"/>
        <v>283</v>
      </c>
      <c r="I27" s="158"/>
    </row>
    <row r="28" spans="1:9" ht="15">
      <c r="A28" s="150">
        <v>4815</v>
      </c>
      <c r="B28" s="150" t="s">
        <v>124</v>
      </c>
      <c r="C28" s="157">
        <v>12973.91</v>
      </c>
      <c r="D28" s="158">
        <v>13856.26</v>
      </c>
      <c r="E28" s="157">
        <v>0</v>
      </c>
      <c r="F28" s="158">
        <f t="shared" si="3"/>
        <v>0</v>
      </c>
      <c r="G28" s="158">
        <v>882</v>
      </c>
      <c r="H28" s="158">
        <f t="shared" si="4"/>
        <v>882</v>
      </c>
      <c r="I28" s="158"/>
    </row>
    <row r="29" spans="1:9" ht="15">
      <c r="A29" s="150">
        <v>4835</v>
      </c>
      <c r="B29" s="168" t="s">
        <v>238</v>
      </c>
      <c r="C29" s="157">
        <v>34.1</v>
      </c>
      <c r="D29" s="158">
        <v>34.1</v>
      </c>
      <c r="E29" s="157">
        <v>0</v>
      </c>
      <c r="F29" s="158">
        <f t="shared" si="3"/>
        <v>0</v>
      </c>
      <c r="G29" s="158">
        <v>0</v>
      </c>
      <c r="H29" s="158">
        <f>SUM(E29:G29)</f>
        <v>0</v>
      </c>
      <c r="I29" s="158"/>
    </row>
    <row r="30" spans="1:9" ht="15">
      <c r="A30" s="150">
        <v>4840</v>
      </c>
      <c r="B30" s="150" t="s">
        <v>125</v>
      </c>
      <c r="C30" s="157">
        <v>3662.49</v>
      </c>
      <c r="D30" s="158">
        <v>3679.49</v>
      </c>
      <c r="E30" s="157">
        <v>0</v>
      </c>
      <c r="F30" s="158">
        <f t="shared" si="3"/>
        <v>0</v>
      </c>
      <c r="G30" s="158">
        <v>17</v>
      </c>
      <c r="H30" s="158">
        <f t="shared" si="4"/>
        <v>17</v>
      </c>
      <c r="I30" s="158"/>
    </row>
    <row r="31" spans="1:9" ht="15">
      <c r="A31" s="150">
        <v>4845</v>
      </c>
      <c r="B31" s="150" t="s">
        <v>126</v>
      </c>
      <c r="C31" s="157">
        <v>7689.7</v>
      </c>
      <c r="D31" s="158">
        <v>7856.38</v>
      </c>
      <c r="E31" s="157">
        <v>0</v>
      </c>
      <c r="F31" s="158">
        <f t="shared" si="3"/>
        <v>0</v>
      </c>
      <c r="G31" s="158">
        <v>166</v>
      </c>
      <c r="H31" s="158">
        <f t="shared" si="4"/>
        <v>166</v>
      </c>
      <c r="I31" s="158"/>
    </row>
    <row r="32" spans="1:9" ht="15">
      <c r="A32" s="150">
        <v>4850</v>
      </c>
      <c r="B32" s="150" t="s">
        <v>127</v>
      </c>
      <c r="C32" s="157">
        <v>15050.67</v>
      </c>
      <c r="D32" s="158">
        <v>15050.67</v>
      </c>
      <c r="E32" s="157">
        <v>0</v>
      </c>
      <c r="F32" s="158">
        <f t="shared" si="3"/>
        <v>0</v>
      </c>
      <c r="G32" s="158">
        <v>0</v>
      </c>
      <c r="H32" s="158">
        <f t="shared" si="4"/>
        <v>0</v>
      </c>
      <c r="I32" s="158"/>
    </row>
    <row r="33" spans="1:9" ht="15">
      <c r="A33" s="150">
        <v>4855</v>
      </c>
      <c r="B33" s="150" t="s">
        <v>128</v>
      </c>
      <c r="C33" s="157">
        <v>3634.94</v>
      </c>
      <c r="D33" s="158">
        <v>3770.21</v>
      </c>
      <c r="E33" s="157">
        <v>0</v>
      </c>
      <c r="F33" s="158">
        <f t="shared" si="3"/>
        <v>0</v>
      </c>
      <c r="G33" s="158">
        <v>135</v>
      </c>
      <c r="H33" s="158">
        <f t="shared" si="4"/>
        <v>135</v>
      </c>
      <c r="I33" s="158"/>
    </row>
    <row r="34" spans="1:9" ht="15">
      <c r="A34" s="150">
        <v>4881</v>
      </c>
      <c r="B34" s="150" t="s">
        <v>129</v>
      </c>
      <c r="C34" s="157">
        <v>-385.09</v>
      </c>
      <c r="D34" s="158">
        <v>2422.64</v>
      </c>
      <c r="E34" s="157">
        <v>4412.3</v>
      </c>
      <c r="F34" s="158">
        <f t="shared" si="3"/>
        <v>802.2363636363636</v>
      </c>
      <c r="G34" s="158">
        <v>-802</v>
      </c>
      <c r="H34" s="158">
        <f t="shared" si="4"/>
        <v>4412.536363636364</v>
      </c>
      <c r="I34" s="158"/>
    </row>
    <row r="35" spans="1:9" ht="15">
      <c r="A35" s="150">
        <v>4882</v>
      </c>
      <c r="B35" s="150" t="s">
        <v>130</v>
      </c>
      <c r="C35" s="157">
        <v>3087.03</v>
      </c>
      <c r="D35" s="158">
        <v>11076.35</v>
      </c>
      <c r="E35" s="157">
        <v>40420.3</v>
      </c>
      <c r="F35" s="158">
        <f t="shared" si="3"/>
        <v>7349.145454545455</v>
      </c>
      <c r="G35" s="158">
        <v>-7349</v>
      </c>
      <c r="H35" s="158">
        <f t="shared" si="4"/>
        <v>40420.44545454546</v>
      </c>
      <c r="I35" s="158"/>
    </row>
    <row r="36" spans="1:9" ht="15">
      <c r="A36" s="150">
        <v>6171</v>
      </c>
      <c r="B36" s="168" t="s">
        <v>189</v>
      </c>
      <c r="C36" s="157">
        <v>7694.92</v>
      </c>
      <c r="D36" s="158">
        <v>8637.1</v>
      </c>
      <c r="E36" s="157">
        <v>4647.56</v>
      </c>
      <c r="F36" s="158">
        <f t="shared" si="3"/>
        <v>845.0109090909092</v>
      </c>
      <c r="G36" s="158">
        <v>97</v>
      </c>
      <c r="H36" s="158">
        <f>SUM(E36:G36)</f>
        <v>5589.5709090909095</v>
      </c>
      <c r="I36" s="158">
        <v>2151.72</v>
      </c>
    </row>
    <row r="37" spans="1:9" ht="15">
      <c r="A37" s="150">
        <v>4865</v>
      </c>
      <c r="B37" s="150" t="s">
        <v>131</v>
      </c>
      <c r="C37" s="157">
        <v>24.2</v>
      </c>
      <c r="D37" s="158">
        <v>24.2</v>
      </c>
      <c r="E37" s="157">
        <v>0</v>
      </c>
      <c r="F37" s="158">
        <f t="shared" si="3"/>
        <v>0</v>
      </c>
      <c r="G37" s="158">
        <v>0</v>
      </c>
      <c r="H37" s="158">
        <f t="shared" si="4"/>
        <v>0</v>
      </c>
      <c r="I37" s="158"/>
    </row>
    <row r="38" spans="1:9" ht="15">
      <c r="A38" s="150">
        <v>4885</v>
      </c>
      <c r="B38" s="150" t="s">
        <v>132</v>
      </c>
      <c r="C38" s="157">
        <v>1735.4</v>
      </c>
      <c r="D38" s="158">
        <v>1735.4</v>
      </c>
      <c r="E38" s="157">
        <v>4693.2</v>
      </c>
      <c r="F38" s="158">
        <f t="shared" si="3"/>
        <v>853.3090909090909</v>
      </c>
      <c r="G38" s="158">
        <v>-853</v>
      </c>
      <c r="H38" s="158">
        <f t="shared" si="4"/>
        <v>4693.50909090909</v>
      </c>
      <c r="I38" s="158"/>
    </row>
    <row r="39" spans="1:9" ht="15">
      <c r="A39" s="150">
        <v>4892</v>
      </c>
      <c r="B39" s="168" t="s">
        <v>245</v>
      </c>
      <c r="C39" s="157">
        <v>759.08</v>
      </c>
      <c r="D39" s="158">
        <v>0</v>
      </c>
      <c r="E39" s="157">
        <v>2899.47</v>
      </c>
      <c r="F39" s="158">
        <f t="shared" si="3"/>
        <v>527.1763636363636</v>
      </c>
      <c r="G39" s="158">
        <v>-527</v>
      </c>
      <c r="H39" s="158">
        <f>SUM(E39:G39)</f>
        <v>2899.6463636363633</v>
      </c>
      <c r="I39" s="158"/>
    </row>
    <row r="40" spans="1:9" ht="15">
      <c r="A40" s="150">
        <v>4895</v>
      </c>
      <c r="B40" s="150" t="s">
        <v>133</v>
      </c>
      <c r="C40" s="157">
        <v>316.76</v>
      </c>
      <c r="D40" s="158">
        <v>316.76</v>
      </c>
      <c r="E40" s="157">
        <v>0</v>
      </c>
      <c r="F40" s="158">
        <f t="shared" si="3"/>
        <v>0</v>
      </c>
      <c r="G40" s="158">
        <v>0</v>
      </c>
      <c r="H40" s="158">
        <f t="shared" si="4"/>
        <v>0</v>
      </c>
      <c r="I40" s="158"/>
    </row>
    <row r="41" spans="1:9" ht="15">
      <c r="A41" s="150">
        <v>4910</v>
      </c>
      <c r="B41" s="150" t="s">
        <v>134</v>
      </c>
      <c r="C41" s="157">
        <v>2332.2</v>
      </c>
      <c r="D41" s="158">
        <v>2332.5</v>
      </c>
      <c r="E41" s="157">
        <v>0</v>
      </c>
      <c r="F41" s="158">
        <f t="shared" si="3"/>
        <v>0</v>
      </c>
      <c r="G41" s="158">
        <v>0</v>
      </c>
      <c r="H41" s="158">
        <f t="shared" si="4"/>
        <v>0</v>
      </c>
      <c r="I41" s="158"/>
    </row>
    <row r="42" spans="1:9" ht="15">
      <c r="A42" s="150">
        <v>4915</v>
      </c>
      <c r="B42" s="150" t="s">
        <v>135</v>
      </c>
      <c r="C42" s="157">
        <v>364.5</v>
      </c>
      <c r="D42" s="158">
        <v>364.5</v>
      </c>
      <c r="E42" s="157">
        <v>0</v>
      </c>
      <c r="F42" s="158">
        <f t="shared" si="3"/>
        <v>0</v>
      </c>
      <c r="G42" s="158">
        <v>0</v>
      </c>
      <c r="H42" s="158">
        <f t="shared" si="4"/>
        <v>0</v>
      </c>
      <c r="I42" s="158"/>
    </row>
    <row r="43" spans="1:9" ht="15">
      <c r="A43" s="150">
        <v>6176</v>
      </c>
      <c r="B43" s="168" t="s">
        <v>186</v>
      </c>
      <c r="C43" s="157">
        <v>5744.36</v>
      </c>
      <c r="D43" s="158">
        <v>5744.36</v>
      </c>
      <c r="E43" s="157">
        <v>437.7</v>
      </c>
      <c r="F43" s="158">
        <f t="shared" si="3"/>
        <v>79.58181818181818</v>
      </c>
      <c r="G43" s="158">
        <v>-80</v>
      </c>
      <c r="H43" s="158">
        <f>SUM(E43:G43)</f>
        <v>437.28181818181815</v>
      </c>
      <c r="I43" s="158"/>
    </row>
    <row r="44" spans="1:9" ht="15">
      <c r="A44" s="150"/>
      <c r="B44" s="150"/>
      <c r="C44" s="161"/>
      <c r="D44" s="161"/>
      <c r="E44" s="161"/>
      <c r="F44" s="161"/>
      <c r="G44" s="161"/>
      <c r="H44" s="161"/>
      <c r="I44" s="172"/>
    </row>
    <row r="45" spans="1:9" ht="15">
      <c r="A45" s="150"/>
      <c r="B45" s="150"/>
      <c r="C45" s="161">
        <f>SUM(C24:C44)</f>
        <v>306417.5800000001</v>
      </c>
      <c r="D45" s="161">
        <f aca="true" t="shared" si="5" ref="D45:I45">SUM(D24:D44)</f>
        <v>370095.26999999996</v>
      </c>
      <c r="E45" s="161">
        <f t="shared" si="5"/>
        <v>287873.57999999996</v>
      </c>
      <c r="F45" s="161">
        <f t="shared" si="5"/>
        <v>52340.65090909091</v>
      </c>
      <c r="G45" s="161">
        <f t="shared" si="5"/>
        <v>998</v>
      </c>
      <c r="H45" s="161">
        <f t="shared" si="5"/>
        <v>341212.2309090909</v>
      </c>
      <c r="I45" s="161">
        <f t="shared" si="5"/>
        <v>2151.72</v>
      </c>
    </row>
    <row r="46" spans="1:9" ht="15">
      <c r="A46" s="150"/>
      <c r="B46" s="150"/>
      <c r="C46" s="163"/>
      <c r="D46" s="163"/>
      <c r="E46" s="163"/>
      <c r="F46" s="163"/>
      <c r="G46" s="163"/>
      <c r="H46" s="163"/>
      <c r="I46" s="163"/>
    </row>
    <row r="47" ht="15.75">
      <c r="A47" s="148" t="s">
        <v>136</v>
      </c>
    </row>
    <row r="49" spans="1:9" ht="15">
      <c r="A49" s="150">
        <v>401</v>
      </c>
      <c r="B49" s="150" t="s">
        <v>137</v>
      </c>
      <c r="C49" s="157">
        <v>24138.89</v>
      </c>
      <c r="D49" s="158">
        <v>28851.47</v>
      </c>
      <c r="E49" s="157">
        <v>19830.85</v>
      </c>
      <c r="F49" s="158">
        <f>E49/$A$5*$A$7</f>
        <v>3605.609090909091</v>
      </c>
      <c r="G49" s="158">
        <v>1107</v>
      </c>
      <c r="H49" s="158">
        <f>SUM(E49:G49)</f>
        <v>24543.45909090909</v>
      </c>
      <c r="I49" s="158"/>
    </row>
    <row r="50" spans="1:9" ht="15">
      <c r="A50" s="150">
        <v>404</v>
      </c>
      <c r="B50" s="150" t="s">
        <v>138</v>
      </c>
      <c r="C50" s="157">
        <v>1662.69</v>
      </c>
      <c r="D50" s="158">
        <v>2521.08</v>
      </c>
      <c r="E50" s="157">
        <v>3493.88</v>
      </c>
      <c r="F50" s="158">
        <f>E50/$A$5*$A$7</f>
        <v>635.2509090909091</v>
      </c>
      <c r="G50" s="158">
        <v>223</v>
      </c>
      <c r="H50" s="158">
        <f>SUM(E50:G50)</f>
        <v>4352.130909090909</v>
      </c>
      <c r="I50" s="158"/>
    </row>
    <row r="51" spans="1:9" ht="15">
      <c r="A51" s="150">
        <v>408</v>
      </c>
      <c r="B51" s="150" t="s">
        <v>139</v>
      </c>
      <c r="C51" s="157">
        <v>16659.1</v>
      </c>
      <c r="D51" s="158">
        <v>19527.54</v>
      </c>
      <c r="E51" s="157">
        <v>18302.64</v>
      </c>
      <c r="F51" s="158">
        <f>E51/$A$5*$A$7</f>
        <v>3327.752727272727</v>
      </c>
      <c r="G51" s="158">
        <v>-458</v>
      </c>
      <c r="H51" s="158">
        <f>SUM(E51:G51)</f>
        <v>21172.392727272727</v>
      </c>
      <c r="I51" s="158"/>
    </row>
    <row r="52" spans="1:9" ht="15">
      <c r="A52" s="150">
        <v>6116</v>
      </c>
      <c r="B52" s="150" t="s">
        <v>140</v>
      </c>
      <c r="C52" s="157">
        <v>67643.59</v>
      </c>
      <c r="D52" s="158">
        <v>76002.04</v>
      </c>
      <c r="E52" s="157">
        <v>63094.38</v>
      </c>
      <c r="F52" s="158">
        <f>E52/$A$5*$A$7</f>
        <v>11471.705454545454</v>
      </c>
      <c r="G52" s="158">
        <v>-3114</v>
      </c>
      <c r="H52" s="158">
        <f>SUM(E52:G52)</f>
        <v>71452.08545454545</v>
      </c>
      <c r="I52" s="158"/>
    </row>
    <row r="53" spans="1:9" ht="15">
      <c r="A53" s="150">
        <v>6117</v>
      </c>
      <c r="B53" s="150" t="s">
        <v>141</v>
      </c>
      <c r="C53" s="157">
        <v>3077.86</v>
      </c>
      <c r="D53" s="158">
        <v>4027.21</v>
      </c>
      <c r="E53" s="157">
        <v>5592.96</v>
      </c>
      <c r="F53" s="158">
        <f>E53/$A$5*$A$7</f>
        <v>1016.9018181818182</v>
      </c>
      <c r="G53" s="158">
        <v>-68</v>
      </c>
      <c r="H53" s="158">
        <f>SUM(E53:G53)</f>
        <v>6541.861818181818</v>
      </c>
      <c r="I53" s="158"/>
    </row>
    <row r="54" spans="1:9" ht="15">
      <c r="A54" s="150"/>
      <c r="B54" s="150"/>
      <c r="C54" s="161"/>
      <c r="D54" s="161"/>
      <c r="E54" s="161"/>
      <c r="F54" s="161"/>
      <c r="G54" s="161"/>
      <c r="H54" s="161"/>
      <c r="I54" s="158"/>
    </row>
    <row r="55" spans="1:9" ht="15">
      <c r="A55" s="150"/>
      <c r="B55" s="150"/>
      <c r="C55" s="161">
        <f aca="true" t="shared" si="6" ref="C55:I55">SUM(C49:C54)</f>
        <v>113182.12999999999</v>
      </c>
      <c r="D55" s="161">
        <f t="shared" si="6"/>
        <v>130929.34000000001</v>
      </c>
      <c r="E55" s="161">
        <f t="shared" si="6"/>
        <v>110314.71</v>
      </c>
      <c r="F55" s="161">
        <f t="shared" si="6"/>
        <v>20057.219999999998</v>
      </c>
      <c r="G55" s="161">
        <f t="shared" si="6"/>
        <v>-2310</v>
      </c>
      <c r="H55" s="161">
        <f t="shared" si="6"/>
        <v>128061.93</v>
      </c>
      <c r="I55" s="162">
        <f t="shared" si="6"/>
        <v>0</v>
      </c>
    </row>
    <row r="56" spans="1:9" ht="15">
      <c r="A56" s="150"/>
      <c r="B56" s="150"/>
      <c r="C56" s="163"/>
      <c r="D56" s="163"/>
      <c r="E56" s="163"/>
      <c r="F56" s="163"/>
      <c r="G56" s="163"/>
      <c r="H56" s="163"/>
      <c r="I56" s="163"/>
    </row>
    <row r="57" spans="1:9" s="154" customFormat="1" ht="15.75">
      <c r="A57" s="148" t="s">
        <v>142</v>
      </c>
      <c r="B57" s="148"/>
      <c r="C57" s="164"/>
      <c r="D57" s="164"/>
      <c r="E57" s="164"/>
      <c r="F57" s="164"/>
      <c r="G57" s="164"/>
      <c r="H57" s="164"/>
      <c r="I57" s="164"/>
    </row>
    <row r="58" spans="1:9" ht="15">
      <c r="A58" s="150"/>
      <c r="B58" s="150"/>
      <c r="C58" s="163"/>
      <c r="D58" s="163"/>
      <c r="E58" s="163"/>
      <c r="F58" s="163"/>
      <c r="G58" s="163"/>
      <c r="H58" s="163"/>
      <c r="I58" s="163"/>
    </row>
    <row r="59" spans="1:9" ht="15">
      <c r="A59" s="150">
        <v>601</v>
      </c>
      <c r="B59" s="150" t="s">
        <v>143</v>
      </c>
      <c r="C59" s="157">
        <v>56454.47</v>
      </c>
      <c r="D59" s="158">
        <v>64184.79</v>
      </c>
      <c r="E59" s="157">
        <v>40515.43</v>
      </c>
      <c r="F59" s="158">
        <f>E59/$A$5*$A$7</f>
        <v>7366.441818181818</v>
      </c>
      <c r="G59" s="158">
        <v>364</v>
      </c>
      <c r="H59" s="158">
        <f>SUM(E59:G59)</f>
        <v>48245.87181818182</v>
      </c>
      <c r="I59" s="158"/>
    </row>
    <row r="60" spans="1:9" ht="15">
      <c r="A60" s="150">
        <v>602</v>
      </c>
      <c r="B60" s="168" t="s">
        <v>190</v>
      </c>
      <c r="C60" s="157">
        <v>41935.39</v>
      </c>
      <c r="D60" s="158">
        <v>42205.47</v>
      </c>
      <c r="E60" s="157">
        <v>29440.26</v>
      </c>
      <c r="F60" s="158">
        <f>E60/$A$5*$A$7</f>
        <v>5352.774545454545</v>
      </c>
      <c r="G60" s="158">
        <v>-5083</v>
      </c>
      <c r="H60" s="158">
        <f>SUM(E60:G60)</f>
        <v>29710.034545454546</v>
      </c>
      <c r="I60" s="158"/>
    </row>
    <row r="61" spans="1:9" ht="15">
      <c r="A61" s="150">
        <v>603</v>
      </c>
      <c r="B61" s="168" t="s">
        <v>191</v>
      </c>
      <c r="C61" s="157">
        <v>1675.22</v>
      </c>
      <c r="D61" s="158">
        <v>2056.46</v>
      </c>
      <c r="E61" s="157">
        <v>407.54</v>
      </c>
      <c r="F61" s="158">
        <f>E61/$A$5*$A$7</f>
        <v>74.09818181818183</v>
      </c>
      <c r="G61" s="158">
        <v>307</v>
      </c>
      <c r="H61" s="158">
        <f>SUM(E61:G61)</f>
        <v>788.6381818181819</v>
      </c>
      <c r="I61" s="158"/>
    </row>
    <row r="62" spans="1:9" ht="15">
      <c r="A62" s="150"/>
      <c r="B62" s="150"/>
      <c r="C62" s="163"/>
      <c r="D62" s="163"/>
      <c r="E62" s="163"/>
      <c r="F62" s="163"/>
      <c r="G62" s="163"/>
      <c r="H62" s="163"/>
      <c r="I62" s="163"/>
    </row>
    <row r="63" spans="1:9" ht="15">
      <c r="A63" s="150"/>
      <c r="B63" s="150"/>
      <c r="C63" s="170">
        <f>SUM(C59:C62)</f>
        <v>100065.08</v>
      </c>
      <c r="D63" s="170">
        <f aca="true" t="shared" si="7" ref="D63:I63">SUM(D59:D62)</f>
        <v>108446.72000000002</v>
      </c>
      <c r="E63" s="170">
        <f t="shared" si="7"/>
        <v>70363.23</v>
      </c>
      <c r="F63" s="170">
        <f t="shared" si="7"/>
        <v>12793.314545454545</v>
      </c>
      <c r="G63" s="170">
        <f t="shared" si="7"/>
        <v>-4412</v>
      </c>
      <c r="H63" s="170">
        <f t="shared" si="7"/>
        <v>78744.54454545456</v>
      </c>
      <c r="I63" s="170">
        <f t="shared" si="7"/>
        <v>0</v>
      </c>
    </row>
    <row r="64" spans="1:9" ht="15">
      <c r="A64" s="150"/>
      <c r="B64" s="150"/>
      <c r="C64" s="163"/>
      <c r="D64" s="163"/>
      <c r="E64" s="163"/>
      <c r="F64" s="163"/>
      <c r="G64" s="163"/>
      <c r="H64" s="163"/>
      <c r="I64" s="163"/>
    </row>
    <row r="65" spans="1:9" ht="15.75">
      <c r="A65" s="148" t="s">
        <v>144</v>
      </c>
      <c r="B65" s="150"/>
      <c r="C65" s="158"/>
      <c r="D65" s="158"/>
      <c r="E65" s="158"/>
      <c r="F65" s="158"/>
      <c r="G65" s="158"/>
      <c r="H65" s="158"/>
      <c r="I65" s="158"/>
    </row>
    <row r="66" spans="1:9" ht="15">
      <c r="A66" s="150"/>
      <c r="B66" s="150"/>
      <c r="C66" s="158"/>
      <c r="D66" s="158"/>
      <c r="E66" s="158"/>
      <c r="F66" s="158"/>
      <c r="G66" s="158"/>
      <c r="H66" s="158"/>
      <c r="I66" s="158"/>
    </row>
    <row r="67" spans="1:9" ht="15">
      <c r="A67" s="150">
        <v>700</v>
      </c>
      <c r="B67" s="150" t="s">
        <v>145</v>
      </c>
      <c r="C67" s="157">
        <v>506.1</v>
      </c>
      <c r="D67" s="158">
        <v>614.55</v>
      </c>
      <c r="E67" s="157">
        <v>506.1</v>
      </c>
      <c r="F67" s="158">
        <f aca="true" t="shared" si="8" ref="F67:F90">E67/$A$5*$A$6</f>
        <v>46.00909090909091</v>
      </c>
      <c r="G67" s="158">
        <v>63</v>
      </c>
      <c r="H67" s="158">
        <f aca="true" t="shared" si="9" ref="H67:H90">SUM(E67:G67)</f>
        <v>615.1090909090909</v>
      </c>
      <c r="I67" s="158"/>
    </row>
    <row r="68" spans="1:9" ht="15">
      <c r="A68" s="150">
        <v>701</v>
      </c>
      <c r="B68" s="168" t="s">
        <v>234</v>
      </c>
      <c r="C68" s="157">
        <v>3274.2</v>
      </c>
      <c r="D68" s="158">
        <v>3979.7</v>
      </c>
      <c r="E68" s="157">
        <v>0</v>
      </c>
      <c r="F68" s="158">
        <f t="shared" si="8"/>
        <v>0</v>
      </c>
      <c r="G68" s="158">
        <v>706</v>
      </c>
      <c r="H68" s="158">
        <f>SUM(E68:G68)</f>
        <v>706</v>
      </c>
      <c r="I68" s="158"/>
    </row>
    <row r="69" spans="1:9" ht="15">
      <c r="A69" s="150">
        <v>702</v>
      </c>
      <c r="B69" s="150" t="s">
        <v>146</v>
      </c>
      <c r="C69" s="157">
        <v>658452.42</v>
      </c>
      <c r="D69" s="158">
        <v>691716.22</v>
      </c>
      <c r="E69" s="157">
        <v>346131.66</v>
      </c>
      <c r="F69" s="158">
        <f t="shared" si="8"/>
        <v>31466.51454545454</v>
      </c>
      <c r="G69" s="158">
        <v>-20000</v>
      </c>
      <c r="H69" s="158">
        <f t="shared" si="9"/>
        <v>357598.1745454545</v>
      </c>
      <c r="I69" s="158">
        <v>181797.29</v>
      </c>
    </row>
    <row r="70" spans="1:9" ht="15">
      <c r="A70" s="150">
        <v>703</v>
      </c>
      <c r="B70" s="168" t="s">
        <v>192</v>
      </c>
      <c r="C70" s="157">
        <v>2297.76</v>
      </c>
      <c r="D70" s="158">
        <v>2633.6</v>
      </c>
      <c r="E70" s="157">
        <v>652.7</v>
      </c>
      <c r="F70" s="158">
        <f t="shared" si="8"/>
        <v>59.33636363636364</v>
      </c>
      <c r="G70" s="158">
        <v>-59</v>
      </c>
      <c r="H70" s="158">
        <f>SUM(E70:G70)</f>
        <v>653.0363636363637</v>
      </c>
      <c r="I70" s="158">
        <v>1847.29</v>
      </c>
    </row>
    <row r="71" spans="1:10" ht="15">
      <c r="A71" s="150">
        <v>704</v>
      </c>
      <c r="B71" s="150" t="s">
        <v>147</v>
      </c>
      <c r="C71" s="157">
        <v>5309.55</v>
      </c>
      <c r="D71" s="158">
        <v>8471.15</v>
      </c>
      <c r="E71" s="157">
        <v>24842.53</v>
      </c>
      <c r="F71" s="158">
        <f t="shared" si="8"/>
        <v>2258.411818181818</v>
      </c>
      <c r="G71" s="158">
        <v>-2258</v>
      </c>
      <c r="H71" s="158">
        <f t="shared" si="9"/>
        <v>24842.94181818182</v>
      </c>
      <c r="I71" s="158">
        <v>3217.09</v>
      </c>
      <c r="J71" s="175"/>
    </row>
    <row r="72" spans="1:9" ht="15">
      <c r="A72" s="150">
        <v>714</v>
      </c>
      <c r="B72" s="150" t="s">
        <v>148</v>
      </c>
      <c r="C72" s="157">
        <v>46909.4</v>
      </c>
      <c r="D72" s="158">
        <v>52947.77</v>
      </c>
      <c r="E72" s="157">
        <v>335685.25</v>
      </c>
      <c r="F72" s="158">
        <f t="shared" si="8"/>
        <v>30516.840909090908</v>
      </c>
      <c r="G72" s="158">
        <v>-24478</v>
      </c>
      <c r="H72" s="158">
        <f t="shared" si="9"/>
        <v>341724.0909090909</v>
      </c>
      <c r="I72" s="158"/>
    </row>
    <row r="73" spans="1:9" ht="15">
      <c r="A73" s="150">
        <v>716</v>
      </c>
      <c r="B73" s="168" t="s">
        <v>235</v>
      </c>
      <c r="C73" s="157">
        <v>180</v>
      </c>
      <c r="D73" s="158">
        <v>180</v>
      </c>
      <c r="E73" s="157">
        <v>360</v>
      </c>
      <c r="F73" s="158">
        <f t="shared" si="8"/>
        <v>32.72727272727273</v>
      </c>
      <c r="G73" s="158">
        <v>-33</v>
      </c>
      <c r="H73" s="158">
        <f>SUM(E73:G73)</f>
        <v>359.72727272727275</v>
      </c>
      <c r="I73" s="158"/>
    </row>
    <row r="74" spans="1:9" ht="15">
      <c r="A74" s="150">
        <v>717</v>
      </c>
      <c r="B74" s="168" t="s">
        <v>193</v>
      </c>
      <c r="C74" s="157">
        <v>4516.5</v>
      </c>
      <c r="D74" s="158">
        <v>4950.25</v>
      </c>
      <c r="E74" s="157">
        <v>9562.7</v>
      </c>
      <c r="F74" s="158">
        <f t="shared" si="8"/>
        <v>869.3363636363637</v>
      </c>
      <c r="G74" s="158">
        <v>-436</v>
      </c>
      <c r="H74" s="158">
        <f>SUM(E74:G74)</f>
        <v>9996.036363636364</v>
      </c>
      <c r="I74" s="158"/>
    </row>
    <row r="75" spans="1:9" ht="15">
      <c r="A75" s="150">
        <v>719</v>
      </c>
      <c r="B75" s="150" t="s">
        <v>149</v>
      </c>
      <c r="C75" s="157">
        <v>15382.98</v>
      </c>
      <c r="D75" s="158">
        <v>17143.98</v>
      </c>
      <c r="E75" s="157">
        <v>11111.64</v>
      </c>
      <c r="F75" s="158">
        <f t="shared" si="8"/>
        <v>1010.1490909090909</v>
      </c>
      <c r="G75" s="158">
        <v>751</v>
      </c>
      <c r="H75" s="158">
        <f t="shared" si="9"/>
        <v>12872.789090909091</v>
      </c>
      <c r="I75" s="158"/>
    </row>
    <row r="76" spans="1:9" ht="15">
      <c r="A76" s="150">
        <v>720</v>
      </c>
      <c r="B76" s="168" t="s">
        <v>242</v>
      </c>
      <c r="C76" s="157">
        <v>0</v>
      </c>
      <c r="D76" s="158">
        <v>0</v>
      </c>
      <c r="E76" s="157">
        <v>850</v>
      </c>
      <c r="F76" s="158">
        <f t="shared" si="8"/>
        <v>77.27272727272727</v>
      </c>
      <c r="G76" s="158">
        <v>-77</v>
      </c>
      <c r="H76" s="158">
        <f t="shared" si="9"/>
        <v>850.2727272727273</v>
      </c>
      <c r="I76" s="158"/>
    </row>
    <row r="77" spans="1:9" ht="15">
      <c r="A77" s="150">
        <v>722</v>
      </c>
      <c r="B77" s="150" t="s">
        <v>150</v>
      </c>
      <c r="C77" s="157">
        <v>6059.55</v>
      </c>
      <c r="D77" s="158">
        <v>6252.1</v>
      </c>
      <c r="E77" s="157">
        <v>19156.91</v>
      </c>
      <c r="F77" s="158">
        <f t="shared" si="8"/>
        <v>1741.5372727272727</v>
      </c>
      <c r="G77" s="158">
        <v>-1549</v>
      </c>
      <c r="H77" s="158">
        <f t="shared" si="9"/>
        <v>19349.447272727273</v>
      </c>
      <c r="I77" s="158"/>
    </row>
    <row r="78" spans="1:9" ht="15">
      <c r="A78" s="150">
        <v>901</v>
      </c>
      <c r="B78" s="150" t="s">
        <v>151</v>
      </c>
      <c r="C78" s="157">
        <v>15098.24</v>
      </c>
      <c r="D78" s="158">
        <v>24032.63</v>
      </c>
      <c r="E78" s="157">
        <v>15315.56</v>
      </c>
      <c r="F78" s="158">
        <f t="shared" si="8"/>
        <v>1392.3236363636363</v>
      </c>
      <c r="G78" s="158">
        <v>7543</v>
      </c>
      <c r="H78" s="158">
        <f t="shared" si="9"/>
        <v>24250.883636363636</v>
      </c>
      <c r="I78" s="158"/>
    </row>
    <row r="79" spans="1:9" ht="15">
      <c r="A79" s="150">
        <v>904</v>
      </c>
      <c r="B79" s="150" t="s">
        <v>152</v>
      </c>
      <c r="C79" s="157">
        <v>654</v>
      </c>
      <c r="D79" s="158">
        <v>1224</v>
      </c>
      <c r="E79" s="157">
        <v>792</v>
      </c>
      <c r="F79" s="158">
        <f t="shared" si="8"/>
        <v>72</v>
      </c>
      <c r="G79" s="158">
        <v>498</v>
      </c>
      <c r="H79" s="158">
        <f t="shared" si="9"/>
        <v>1362</v>
      </c>
      <c r="I79" s="158"/>
    </row>
    <row r="80" spans="1:9" ht="15">
      <c r="A80" s="150">
        <v>905</v>
      </c>
      <c r="B80" s="150" t="s">
        <v>153</v>
      </c>
      <c r="C80" s="157">
        <v>2060</v>
      </c>
      <c r="D80" s="158">
        <v>2060</v>
      </c>
      <c r="E80" s="157">
        <v>2160</v>
      </c>
      <c r="F80" s="158">
        <f t="shared" si="8"/>
        <v>196.36363636363637</v>
      </c>
      <c r="G80" s="158">
        <v>-196</v>
      </c>
      <c r="H80" s="158">
        <f t="shared" si="9"/>
        <v>2160.3636363636365</v>
      </c>
      <c r="I80" s="158"/>
    </row>
    <row r="81" spans="1:9" ht="15">
      <c r="A81" s="150">
        <v>907</v>
      </c>
      <c r="B81" s="150" t="s">
        <v>154</v>
      </c>
      <c r="C81" s="157">
        <v>109229.32</v>
      </c>
      <c r="D81" s="158">
        <v>71379.53</v>
      </c>
      <c r="E81" s="157">
        <f>1909179.76-750000</f>
        <v>1159179.76</v>
      </c>
      <c r="F81" s="158">
        <f t="shared" si="8"/>
        <v>105379.97818181818</v>
      </c>
      <c r="G81" s="158">
        <v>-105380</v>
      </c>
      <c r="H81" s="158">
        <f t="shared" si="9"/>
        <v>1159179.7381818183</v>
      </c>
      <c r="I81" s="174">
        <v>1305846.09</v>
      </c>
    </row>
    <row r="82" spans="1:9" ht="15">
      <c r="A82" s="150">
        <v>908</v>
      </c>
      <c r="B82" s="168" t="s">
        <v>194</v>
      </c>
      <c r="C82" s="157">
        <v>33034.22</v>
      </c>
      <c r="D82" s="158">
        <v>40575.48</v>
      </c>
      <c r="E82" s="157">
        <v>32309.64</v>
      </c>
      <c r="F82" s="158">
        <f t="shared" si="8"/>
        <v>2937.24</v>
      </c>
      <c r="G82" s="158">
        <v>44</v>
      </c>
      <c r="H82" s="158">
        <f>SUM(E82:G82)</f>
        <v>35290.88</v>
      </c>
      <c r="I82" s="158">
        <v>4560</v>
      </c>
    </row>
    <row r="83" spans="1:9" ht="15">
      <c r="A83" s="150">
        <v>939</v>
      </c>
      <c r="B83" s="168" t="s">
        <v>195</v>
      </c>
      <c r="C83" s="157">
        <v>225941.38</v>
      </c>
      <c r="D83" s="158">
        <v>227570.93</v>
      </c>
      <c r="E83" s="157">
        <v>216598.2</v>
      </c>
      <c r="F83" s="158">
        <f t="shared" si="8"/>
        <v>19690.745454545457</v>
      </c>
      <c r="G83" s="158">
        <v>-18061</v>
      </c>
      <c r="H83" s="158">
        <f>SUM(E83:G83)</f>
        <v>218227.94545454546</v>
      </c>
      <c r="I83" s="158"/>
    </row>
    <row r="84" spans="1:9" ht="15">
      <c r="A84" s="150">
        <v>950</v>
      </c>
      <c r="B84" s="168" t="s">
        <v>243</v>
      </c>
      <c r="C84" s="157">
        <v>0</v>
      </c>
      <c r="D84" s="158">
        <v>0</v>
      </c>
      <c r="E84" s="157">
        <v>3061.89</v>
      </c>
      <c r="F84" s="158">
        <f t="shared" si="8"/>
        <v>278.3536363636363</v>
      </c>
      <c r="G84" s="158">
        <v>-278</v>
      </c>
      <c r="H84" s="158">
        <f>SUM(E84:G84)</f>
        <v>3062.243636363636</v>
      </c>
      <c r="I84" s="158"/>
    </row>
    <row r="85" spans="1:9" ht="15">
      <c r="A85" s="150">
        <v>951</v>
      </c>
      <c r="B85" s="150" t="s">
        <v>155</v>
      </c>
      <c r="C85" s="157">
        <v>110</v>
      </c>
      <c r="D85" s="158">
        <v>710</v>
      </c>
      <c r="E85" s="157">
        <v>125</v>
      </c>
      <c r="F85" s="158">
        <f t="shared" si="8"/>
        <v>11.363636363636363</v>
      </c>
      <c r="G85" s="158">
        <v>589</v>
      </c>
      <c r="H85" s="158">
        <f t="shared" si="9"/>
        <v>725.3636363636364</v>
      </c>
      <c r="I85" s="158"/>
    </row>
    <row r="86" spans="1:9" ht="15">
      <c r="A86" s="150">
        <v>6118</v>
      </c>
      <c r="B86" s="150" t="s">
        <v>156</v>
      </c>
      <c r="C86" s="157">
        <v>8649.59</v>
      </c>
      <c r="D86" s="158">
        <v>11525.5</v>
      </c>
      <c r="E86" s="157">
        <v>9580.9</v>
      </c>
      <c r="F86" s="158">
        <f t="shared" si="8"/>
        <v>870.9909090909091</v>
      </c>
      <c r="G86" s="158">
        <v>2005</v>
      </c>
      <c r="H86" s="158">
        <f t="shared" si="9"/>
        <v>12456.89090909091</v>
      </c>
      <c r="I86" s="158"/>
    </row>
    <row r="87" spans="1:9" ht="15">
      <c r="A87" s="150">
        <v>6146</v>
      </c>
      <c r="B87" s="150" t="s">
        <v>157</v>
      </c>
      <c r="C87" s="157">
        <v>338.08</v>
      </c>
      <c r="D87" s="158">
        <v>423.34</v>
      </c>
      <c r="E87" s="157">
        <v>368.8</v>
      </c>
      <c r="F87" s="158">
        <f t="shared" si="8"/>
        <v>33.52727272727273</v>
      </c>
      <c r="G87" s="158">
        <v>52</v>
      </c>
      <c r="H87" s="158">
        <f t="shared" si="9"/>
        <v>454.32727272727277</v>
      </c>
      <c r="I87" s="158"/>
    </row>
    <row r="88" spans="1:9" ht="15">
      <c r="A88" s="150">
        <v>6896</v>
      </c>
      <c r="B88" s="150" t="s">
        <v>158</v>
      </c>
      <c r="C88" s="157">
        <v>9592.92</v>
      </c>
      <c r="D88" s="158">
        <v>14375.33</v>
      </c>
      <c r="E88" s="157">
        <v>10268.7</v>
      </c>
      <c r="F88" s="158">
        <f t="shared" si="8"/>
        <v>933.5181818181819</v>
      </c>
      <c r="G88" s="158">
        <v>3849</v>
      </c>
      <c r="H88" s="158">
        <f t="shared" si="9"/>
        <v>15051.218181818183</v>
      </c>
      <c r="I88" s="158"/>
    </row>
    <row r="89" spans="1:9" ht="15">
      <c r="A89" s="150">
        <v>6897</v>
      </c>
      <c r="B89" s="150" t="s">
        <v>159</v>
      </c>
      <c r="C89" s="157">
        <v>1064511.49</v>
      </c>
      <c r="D89" s="158">
        <v>1185550.91</v>
      </c>
      <c r="E89" s="157">
        <v>985507.53</v>
      </c>
      <c r="F89" s="158">
        <f t="shared" si="8"/>
        <v>89591.59363636364</v>
      </c>
      <c r="G89" s="158">
        <v>31449</v>
      </c>
      <c r="H89" s="158">
        <f t="shared" si="9"/>
        <v>1106548.1236363638</v>
      </c>
      <c r="I89" s="158"/>
    </row>
    <row r="90" spans="1:9" ht="15">
      <c r="A90" s="150">
        <v>8140</v>
      </c>
      <c r="B90" s="150" t="s">
        <v>160</v>
      </c>
      <c r="C90" s="157">
        <v>36128.26</v>
      </c>
      <c r="D90" s="158">
        <v>59492.17</v>
      </c>
      <c r="E90" s="157">
        <v>55429.37</v>
      </c>
      <c r="F90" s="158">
        <f t="shared" si="8"/>
        <v>5039.033636363637</v>
      </c>
      <c r="G90" s="158">
        <v>18325</v>
      </c>
      <c r="H90" s="158">
        <f t="shared" si="9"/>
        <v>78793.40363636364</v>
      </c>
      <c r="I90" s="158"/>
    </row>
    <row r="91" spans="1:9" ht="15">
      <c r="A91" s="150"/>
      <c r="B91" s="150"/>
      <c r="C91" s="161"/>
      <c r="D91" s="161"/>
      <c r="E91" s="161"/>
      <c r="F91" s="161"/>
      <c r="G91" s="161"/>
      <c r="H91" s="161"/>
      <c r="I91" s="161"/>
    </row>
    <row r="92" spans="1:9" ht="15">
      <c r="A92" s="150"/>
      <c r="B92" s="150"/>
      <c r="C92" s="161">
        <f aca="true" t="shared" si="10" ref="C92:I92">SUM(C67:C91)</f>
        <v>2248235.96</v>
      </c>
      <c r="D92" s="161">
        <f t="shared" si="10"/>
        <v>2427809.1399999997</v>
      </c>
      <c r="E92" s="161">
        <f>SUM(E67:E91)</f>
        <v>3239556.84</v>
      </c>
      <c r="F92" s="161">
        <f t="shared" si="10"/>
        <v>294505.1672727273</v>
      </c>
      <c r="G92" s="161">
        <f t="shared" si="10"/>
        <v>-106931</v>
      </c>
      <c r="H92" s="161">
        <f t="shared" si="10"/>
        <v>3427131.0072727273</v>
      </c>
      <c r="I92" s="161">
        <f t="shared" si="10"/>
        <v>1497267.76</v>
      </c>
    </row>
    <row r="93" spans="1:8" ht="15">
      <c r="A93" s="150"/>
      <c r="B93" s="150"/>
      <c r="C93" s="158"/>
      <c r="D93" s="158"/>
      <c r="E93" s="158"/>
      <c r="F93" s="158"/>
      <c r="G93" s="158"/>
      <c r="H93" s="158"/>
    </row>
    <row r="94" spans="1:8" ht="15.75">
      <c r="A94" s="148" t="s">
        <v>196</v>
      </c>
      <c r="B94" s="150"/>
      <c r="C94" s="158"/>
      <c r="D94" s="158"/>
      <c r="E94" s="158"/>
      <c r="F94" s="158"/>
      <c r="G94" s="158"/>
      <c r="H94" s="158"/>
    </row>
    <row r="95" spans="1:9" ht="15">
      <c r="A95" s="150"/>
      <c r="B95" s="150"/>
      <c r="C95" s="158"/>
      <c r="D95" s="158"/>
      <c r="E95" s="158"/>
      <c r="F95" s="158"/>
      <c r="G95" s="158"/>
      <c r="H95" s="158"/>
      <c r="I95" s="158"/>
    </row>
    <row r="96" spans="1:9" ht="15">
      <c r="A96" s="150">
        <v>801</v>
      </c>
      <c r="B96" s="168" t="s">
        <v>197</v>
      </c>
      <c r="C96" s="165">
        <v>2400</v>
      </c>
      <c r="D96" s="158">
        <v>2400</v>
      </c>
      <c r="E96" s="165">
        <v>0</v>
      </c>
      <c r="F96" s="158">
        <f>E96/$A$5*$A$7</f>
        <v>0</v>
      </c>
      <c r="G96" s="158">
        <v>0</v>
      </c>
      <c r="H96" s="158">
        <f>SUM(E96:G96)</f>
        <v>0</v>
      </c>
      <c r="I96" s="158"/>
    </row>
    <row r="97" spans="1:9" ht="15">
      <c r="A97" s="150"/>
      <c r="B97" s="150"/>
      <c r="C97" s="161"/>
      <c r="D97" s="161"/>
      <c r="E97" s="161"/>
      <c r="F97" s="161"/>
      <c r="G97" s="161"/>
      <c r="H97" s="161"/>
      <c r="I97" s="161"/>
    </row>
    <row r="98" spans="1:9" ht="15">
      <c r="A98" s="150"/>
      <c r="B98" s="150"/>
      <c r="C98" s="161">
        <f aca="true" t="shared" si="11" ref="C98:I98">SUM(C96:C97)</f>
        <v>2400</v>
      </c>
      <c r="D98" s="161">
        <f t="shared" si="11"/>
        <v>2400</v>
      </c>
      <c r="E98" s="161">
        <f t="shared" si="11"/>
        <v>0</v>
      </c>
      <c r="F98" s="161">
        <f t="shared" si="11"/>
        <v>0</v>
      </c>
      <c r="G98" s="161">
        <f t="shared" si="11"/>
        <v>0</v>
      </c>
      <c r="H98" s="161">
        <f t="shared" si="11"/>
        <v>0</v>
      </c>
      <c r="I98" s="161">
        <f t="shared" si="11"/>
        <v>0</v>
      </c>
    </row>
    <row r="99" spans="1:9" ht="15">
      <c r="A99" s="150"/>
      <c r="B99" s="150"/>
      <c r="C99" s="163"/>
      <c r="D99" s="163"/>
      <c r="E99" s="163"/>
      <c r="F99" s="163"/>
      <c r="G99" s="163"/>
      <c r="H99" s="163"/>
      <c r="I99" s="163"/>
    </row>
    <row r="100" spans="1:8" ht="15.75">
      <c r="A100" s="148" t="s">
        <v>161</v>
      </c>
      <c r="B100" s="150"/>
      <c r="C100" s="158"/>
      <c r="D100" s="158"/>
      <c r="E100" s="158"/>
      <c r="F100" s="158"/>
      <c r="G100" s="158"/>
      <c r="H100" s="158"/>
    </row>
    <row r="101" spans="1:9" ht="15">
      <c r="A101" s="150"/>
      <c r="B101" s="150"/>
      <c r="C101" s="158"/>
      <c r="D101" s="158"/>
      <c r="E101" s="158"/>
      <c r="F101" s="158"/>
      <c r="G101" s="158"/>
      <c r="H101" s="158"/>
      <c r="I101" s="158"/>
    </row>
    <row r="102" spans="1:9" ht="15">
      <c r="A102" s="150">
        <v>902</v>
      </c>
      <c r="B102" s="150" t="s">
        <v>162</v>
      </c>
      <c r="C102" s="165">
        <v>6718.76</v>
      </c>
      <c r="D102" s="158">
        <v>6718.76</v>
      </c>
      <c r="E102" s="165">
        <v>2910.69</v>
      </c>
      <c r="F102" s="158">
        <f aca="true" t="shared" si="12" ref="F102:F116">E102/$A$5*$A$7</f>
        <v>529.2163636363637</v>
      </c>
      <c r="G102" s="158">
        <v>-529</v>
      </c>
      <c r="H102" s="158">
        <f aca="true" t="shared" si="13" ref="H102:H116">SUM(E102:G102)</f>
        <v>2910.9063636363635</v>
      </c>
      <c r="I102" s="158"/>
    </row>
    <row r="103" spans="1:9" ht="15">
      <c r="A103" s="150">
        <v>903</v>
      </c>
      <c r="B103" s="150" t="s">
        <v>163</v>
      </c>
      <c r="C103" s="165">
        <v>89.06</v>
      </c>
      <c r="D103" s="158">
        <v>12375.31</v>
      </c>
      <c r="E103" s="165">
        <v>11371.09</v>
      </c>
      <c r="F103" s="158">
        <f t="shared" si="12"/>
        <v>2067.470909090909</v>
      </c>
      <c r="G103" s="158">
        <v>10218</v>
      </c>
      <c r="H103" s="158">
        <f t="shared" si="13"/>
        <v>23656.56090909091</v>
      </c>
      <c r="I103" s="158"/>
    </row>
    <row r="104" spans="1:9" ht="15">
      <c r="A104" s="150">
        <v>906</v>
      </c>
      <c r="B104" s="150" t="s">
        <v>164</v>
      </c>
      <c r="C104" s="157">
        <v>15576.26</v>
      </c>
      <c r="D104" s="158">
        <v>17527.6</v>
      </c>
      <c r="E104" s="157">
        <v>15536.76</v>
      </c>
      <c r="F104" s="158">
        <f t="shared" si="12"/>
        <v>2824.8654545454547</v>
      </c>
      <c r="G104" s="158">
        <v>-873</v>
      </c>
      <c r="H104" s="158">
        <f t="shared" si="13"/>
        <v>17488.625454545454</v>
      </c>
      <c r="I104" s="158"/>
    </row>
    <row r="105" spans="1:9" ht="15">
      <c r="A105" s="150">
        <v>910</v>
      </c>
      <c r="B105" s="168" t="s">
        <v>254</v>
      </c>
      <c r="C105" s="157">
        <v>0</v>
      </c>
      <c r="D105" s="158">
        <v>0</v>
      </c>
      <c r="E105" s="157">
        <v>0</v>
      </c>
      <c r="F105" s="158">
        <f t="shared" si="12"/>
        <v>0</v>
      </c>
      <c r="G105" s="158">
        <v>0</v>
      </c>
      <c r="H105" s="158">
        <f>SUM(E105:G105)</f>
        <v>0</v>
      </c>
      <c r="I105" s="158"/>
    </row>
    <row r="106" spans="1:9" ht="15">
      <c r="A106" s="150">
        <v>911</v>
      </c>
      <c r="B106" s="168" t="s">
        <v>198</v>
      </c>
      <c r="C106" s="157">
        <v>9676.9</v>
      </c>
      <c r="D106" s="158">
        <v>19248.58</v>
      </c>
      <c r="E106" s="157">
        <v>2593.97</v>
      </c>
      <c r="F106" s="158">
        <f t="shared" si="12"/>
        <v>471.63090909090903</v>
      </c>
      <c r="G106" s="158">
        <v>9100</v>
      </c>
      <c r="H106" s="158">
        <f>SUM(E106:G106)</f>
        <v>12165.600909090908</v>
      </c>
      <c r="I106" s="158"/>
    </row>
    <row r="107" spans="1:9" ht="15">
      <c r="A107" s="150">
        <v>912</v>
      </c>
      <c r="B107" s="168" t="s">
        <v>199</v>
      </c>
      <c r="C107" s="157">
        <v>1475.02</v>
      </c>
      <c r="D107" s="158">
        <v>1696.27</v>
      </c>
      <c r="E107" s="157">
        <v>2612.85</v>
      </c>
      <c r="F107" s="158">
        <f t="shared" si="12"/>
        <v>475.06363636363636</v>
      </c>
      <c r="G107" s="158">
        <v>254</v>
      </c>
      <c r="H107" s="158">
        <f>SUM(E107:G107)</f>
        <v>3341.913636363636</v>
      </c>
      <c r="I107" s="158"/>
    </row>
    <row r="108" spans="1:9" ht="15">
      <c r="A108" s="150">
        <v>917</v>
      </c>
      <c r="B108" s="150" t="s">
        <v>165</v>
      </c>
      <c r="C108" s="157">
        <v>8988.38</v>
      </c>
      <c r="D108" s="158">
        <v>9144.87</v>
      </c>
      <c r="E108" s="157">
        <v>7974.42</v>
      </c>
      <c r="F108" s="158">
        <f t="shared" si="12"/>
        <v>1449.8945454545456</v>
      </c>
      <c r="G108" s="158">
        <v>-1293</v>
      </c>
      <c r="H108" s="158">
        <f t="shared" si="13"/>
        <v>8131.314545454545</v>
      </c>
      <c r="I108" s="158"/>
    </row>
    <row r="109" spans="1:9" ht="15">
      <c r="A109" s="150">
        <v>918</v>
      </c>
      <c r="B109" s="150" t="s">
        <v>166</v>
      </c>
      <c r="C109" s="157">
        <v>16808.14</v>
      </c>
      <c r="D109" s="158">
        <v>23308.08</v>
      </c>
      <c r="E109" s="157">
        <v>31615.64</v>
      </c>
      <c r="F109" s="158">
        <f t="shared" si="12"/>
        <v>5748.298181818182</v>
      </c>
      <c r="G109" s="158">
        <v>752</v>
      </c>
      <c r="H109" s="158">
        <f t="shared" si="13"/>
        <v>38115.93818181818</v>
      </c>
      <c r="I109" s="158"/>
    </row>
    <row r="110" spans="1:9" ht="15">
      <c r="A110" s="150">
        <v>919</v>
      </c>
      <c r="B110" s="150" t="s">
        <v>167</v>
      </c>
      <c r="C110" s="157">
        <v>254.63</v>
      </c>
      <c r="D110" s="158">
        <v>254.63</v>
      </c>
      <c r="E110" s="157">
        <v>147.41</v>
      </c>
      <c r="F110" s="158">
        <f t="shared" si="12"/>
        <v>26.80181818181818</v>
      </c>
      <c r="G110" s="158">
        <v>-27</v>
      </c>
      <c r="H110" s="158">
        <f t="shared" si="13"/>
        <v>147.2118181818182</v>
      </c>
      <c r="I110" s="158"/>
    </row>
    <row r="111" spans="1:9" ht="15">
      <c r="A111" s="150">
        <v>929</v>
      </c>
      <c r="B111" s="168" t="s">
        <v>200</v>
      </c>
      <c r="C111" s="157">
        <v>13406.25</v>
      </c>
      <c r="D111" s="158">
        <v>15970.88</v>
      </c>
      <c r="E111" s="157">
        <v>10232.78</v>
      </c>
      <c r="F111" s="158">
        <f t="shared" si="12"/>
        <v>1860.5054545454548</v>
      </c>
      <c r="G111" s="158">
        <v>705</v>
      </c>
      <c r="H111" s="158">
        <f>SUM(E111:G111)</f>
        <v>12798.285454545456</v>
      </c>
      <c r="I111" s="158"/>
    </row>
    <row r="112" spans="1:9" ht="15">
      <c r="A112" s="150">
        <v>930</v>
      </c>
      <c r="B112" s="150" t="s">
        <v>168</v>
      </c>
      <c r="C112" s="157">
        <v>19211.46</v>
      </c>
      <c r="D112" s="158">
        <v>22824.44</v>
      </c>
      <c r="E112" s="157">
        <v>29481.58</v>
      </c>
      <c r="F112" s="158">
        <f t="shared" si="12"/>
        <v>5360.287272727273</v>
      </c>
      <c r="G112" s="158">
        <v>-1747</v>
      </c>
      <c r="H112" s="158">
        <f t="shared" si="13"/>
        <v>33094.86727272728</v>
      </c>
      <c r="I112" s="158"/>
    </row>
    <row r="113" spans="1:9" ht="15">
      <c r="A113" s="150">
        <v>935</v>
      </c>
      <c r="B113" s="168" t="s">
        <v>244</v>
      </c>
      <c r="C113" s="157">
        <v>0</v>
      </c>
      <c r="D113" s="158">
        <v>0</v>
      </c>
      <c r="E113" s="157">
        <v>1886.45</v>
      </c>
      <c r="F113" s="158">
        <f t="shared" si="12"/>
        <v>342.9909090909091</v>
      </c>
      <c r="G113" s="158">
        <v>-343</v>
      </c>
      <c r="H113" s="158">
        <f t="shared" si="13"/>
        <v>1886.4409090909094</v>
      </c>
      <c r="I113" s="158"/>
    </row>
    <row r="114" spans="1:9" ht="15">
      <c r="A114" s="150">
        <v>936</v>
      </c>
      <c r="B114" s="150" t="s">
        <v>169</v>
      </c>
      <c r="C114" s="157">
        <v>-123</v>
      </c>
      <c r="D114" s="158">
        <v>-277.4</v>
      </c>
      <c r="E114" s="157">
        <v>0</v>
      </c>
      <c r="F114" s="158">
        <f t="shared" si="12"/>
        <v>0</v>
      </c>
      <c r="G114" s="158">
        <v>0</v>
      </c>
      <c r="H114" s="158">
        <f t="shared" si="13"/>
        <v>0</v>
      </c>
      <c r="I114" s="158"/>
    </row>
    <row r="115" spans="1:9" ht="15">
      <c r="A115" s="150">
        <v>4715</v>
      </c>
      <c r="B115" s="168" t="s">
        <v>201</v>
      </c>
      <c r="C115" s="157">
        <v>-26219.72</v>
      </c>
      <c r="D115" s="158">
        <v>-35598.96</v>
      </c>
      <c r="E115" s="157">
        <v>-31898.53</v>
      </c>
      <c r="F115" s="158">
        <f t="shared" si="12"/>
        <v>-5799.732727272727</v>
      </c>
      <c r="G115" s="158">
        <v>-3580</v>
      </c>
      <c r="H115" s="158">
        <f>SUM(E115:G115)</f>
        <v>-41278.262727272726</v>
      </c>
      <c r="I115" s="158"/>
    </row>
    <row r="116" spans="1:9" ht="15">
      <c r="A116" s="150">
        <v>6246</v>
      </c>
      <c r="B116" s="150" t="s">
        <v>170</v>
      </c>
      <c r="C116" s="157">
        <v>357872.52</v>
      </c>
      <c r="D116" s="158">
        <v>418607.23</v>
      </c>
      <c r="E116" s="157">
        <v>389865.18</v>
      </c>
      <c r="F116" s="158">
        <f t="shared" si="12"/>
        <v>70884.57818181819</v>
      </c>
      <c r="G116" s="158">
        <v>-10151</v>
      </c>
      <c r="H116" s="158">
        <f t="shared" si="13"/>
        <v>450598.7581818182</v>
      </c>
      <c r="I116" s="158"/>
    </row>
    <row r="117" spans="1:9" ht="15">
      <c r="A117" s="150"/>
      <c r="B117" s="150"/>
      <c r="C117" s="161"/>
      <c r="D117" s="161"/>
      <c r="E117" s="161"/>
      <c r="F117" s="161"/>
      <c r="G117" s="161"/>
      <c r="H117" s="161"/>
      <c r="I117" s="161"/>
    </row>
    <row r="118" spans="1:9" ht="15">
      <c r="A118" s="150"/>
      <c r="B118" s="150"/>
      <c r="C118" s="161">
        <f aca="true" t="shared" si="14" ref="C118:I118">SUM(C102:C117)</f>
        <v>423734.66000000003</v>
      </c>
      <c r="D118" s="161">
        <f t="shared" si="14"/>
        <v>511800.29000000004</v>
      </c>
      <c r="E118" s="161">
        <f t="shared" si="14"/>
        <v>474330.29</v>
      </c>
      <c r="F118" s="161">
        <f t="shared" si="14"/>
        <v>86241.87090909091</v>
      </c>
      <c r="G118" s="161">
        <f t="shared" si="14"/>
        <v>2486</v>
      </c>
      <c r="H118" s="161">
        <f t="shared" si="14"/>
        <v>563058.1609090909</v>
      </c>
      <c r="I118" s="161">
        <f t="shared" si="14"/>
        <v>0</v>
      </c>
    </row>
    <row r="119" spans="1:9" ht="15">
      <c r="A119" s="150"/>
      <c r="B119" s="150"/>
      <c r="C119" s="158"/>
      <c r="D119" s="158"/>
      <c r="E119" s="158"/>
      <c r="F119" s="158"/>
      <c r="G119" s="158"/>
      <c r="H119" s="158"/>
      <c r="I119" s="158"/>
    </row>
    <row r="120" spans="1:9" ht="15.75">
      <c r="A120" s="148" t="s">
        <v>171</v>
      </c>
      <c r="B120" s="150"/>
      <c r="C120" s="158"/>
      <c r="D120" s="158"/>
      <c r="E120" s="158"/>
      <c r="F120" s="158"/>
      <c r="G120" s="158"/>
      <c r="H120" s="158"/>
      <c r="I120" s="158"/>
    </row>
    <row r="121" spans="1:9" ht="15">
      <c r="A121" s="150"/>
      <c r="B121" s="150"/>
      <c r="C121" s="158"/>
      <c r="D121" s="158"/>
      <c r="E121" s="158"/>
      <c r="F121" s="158"/>
      <c r="G121" s="158"/>
      <c r="H121" s="158"/>
      <c r="I121" s="158"/>
    </row>
    <row r="122" spans="1:9" ht="15">
      <c r="A122" s="150">
        <v>1101</v>
      </c>
      <c r="B122" s="168" t="s">
        <v>202</v>
      </c>
      <c r="C122" s="157">
        <v>64860.62</v>
      </c>
      <c r="D122" s="158">
        <v>118535.42</v>
      </c>
      <c r="E122" s="157">
        <v>278545.08</v>
      </c>
      <c r="F122" s="158">
        <f>E122/$A$5*$A$6</f>
        <v>25322.280000000002</v>
      </c>
      <c r="G122" s="158">
        <v>0</v>
      </c>
      <c r="H122" s="158">
        <f>SUM(E122:G122)</f>
        <v>303867.36000000004</v>
      </c>
      <c r="I122" s="158">
        <v>91461.6</v>
      </c>
    </row>
    <row r="123" spans="1:9" ht="15">
      <c r="A123" s="150">
        <v>1102</v>
      </c>
      <c r="B123" s="150" t="s">
        <v>172</v>
      </c>
      <c r="C123" s="157">
        <v>230659.58</v>
      </c>
      <c r="D123" s="158">
        <v>274913.2</v>
      </c>
      <c r="E123" s="157">
        <v>385238.02</v>
      </c>
      <c r="F123" s="158">
        <f>E123/$A$5*$A$6</f>
        <v>35021.63818181818</v>
      </c>
      <c r="G123" s="158">
        <v>0</v>
      </c>
      <c r="H123" s="158">
        <f>SUM(E123:G123)</f>
        <v>420259.6581818182</v>
      </c>
      <c r="I123" s="158">
        <v>37974.46</v>
      </c>
    </row>
    <row r="124" spans="1:9" ht="15">
      <c r="A124" s="150">
        <v>1103</v>
      </c>
      <c r="B124" s="150" t="s">
        <v>173</v>
      </c>
      <c r="C124" s="157">
        <v>35024.57</v>
      </c>
      <c r="D124" s="158">
        <v>38557.24</v>
      </c>
      <c r="E124" s="157">
        <v>32251.76</v>
      </c>
      <c r="F124" s="158">
        <f>E124/$A$5*$A$6</f>
        <v>2931.978181818182</v>
      </c>
      <c r="G124" s="158">
        <v>0</v>
      </c>
      <c r="H124" s="158">
        <f>SUM(E124:G124)</f>
        <v>35183.73818181818</v>
      </c>
      <c r="I124" s="158">
        <v>27.3</v>
      </c>
    </row>
    <row r="125" spans="1:9" ht="15">
      <c r="A125" s="150">
        <v>1111</v>
      </c>
      <c r="B125" s="150" t="s">
        <v>174</v>
      </c>
      <c r="C125" s="157">
        <v>7266.55</v>
      </c>
      <c r="D125" s="158">
        <v>10469.66</v>
      </c>
      <c r="E125" s="157">
        <v>20812.62</v>
      </c>
      <c r="F125" s="158">
        <f>E125/$A$5*$A$6</f>
        <v>1892.0563636363636</v>
      </c>
      <c r="G125" s="158">
        <v>-1892</v>
      </c>
      <c r="H125" s="158">
        <f>SUM(E125:G125)</f>
        <v>20812.67636363636</v>
      </c>
      <c r="I125" s="158">
        <v>5888.11</v>
      </c>
    </row>
    <row r="126" spans="1:9" ht="15">
      <c r="A126" s="150"/>
      <c r="B126" s="150"/>
      <c r="C126" s="159"/>
      <c r="D126" s="160"/>
      <c r="E126" s="159"/>
      <c r="F126" s="158"/>
      <c r="G126" s="172"/>
      <c r="H126" s="158"/>
      <c r="I126" s="158"/>
    </row>
    <row r="127" spans="1:9" ht="15">
      <c r="A127" s="150"/>
      <c r="B127" s="150"/>
      <c r="C127" s="142">
        <f>SUM(C122:C126)</f>
        <v>337811.32</v>
      </c>
      <c r="D127" s="142">
        <f aca="true" t="shared" si="15" ref="D127:I127">SUM(D122:D126)</f>
        <v>442475.51999999996</v>
      </c>
      <c r="E127" s="142">
        <f t="shared" si="15"/>
        <v>716847.4800000001</v>
      </c>
      <c r="F127" s="142">
        <f t="shared" si="15"/>
        <v>65167.95272727273</v>
      </c>
      <c r="G127" s="158">
        <f t="shared" si="15"/>
        <v>-1892</v>
      </c>
      <c r="H127" s="142">
        <f t="shared" si="15"/>
        <v>780123.4327272729</v>
      </c>
      <c r="I127" s="142">
        <f t="shared" si="15"/>
        <v>135351.47</v>
      </c>
    </row>
    <row r="128" spans="1:9" ht="15">
      <c r="A128" s="150"/>
      <c r="B128" s="150"/>
      <c r="C128" s="159"/>
      <c r="D128" s="160"/>
      <c r="E128" s="159"/>
      <c r="F128" s="158"/>
      <c r="G128" s="173"/>
      <c r="H128" s="158"/>
      <c r="I128" s="158"/>
    </row>
    <row r="129" spans="1:9" ht="15.75">
      <c r="A129" s="148" t="s">
        <v>175</v>
      </c>
      <c r="B129" s="150"/>
      <c r="C129" s="158"/>
      <c r="D129" s="158"/>
      <c r="E129" s="158"/>
      <c r="F129" s="158"/>
      <c r="G129" s="163"/>
      <c r="H129" s="158"/>
      <c r="I129" s="158"/>
    </row>
    <row r="130" spans="1:9" ht="15">
      <c r="A130" s="150"/>
      <c r="B130" s="150"/>
      <c r="C130" s="159"/>
      <c r="D130" s="160"/>
      <c r="E130" s="159"/>
      <c r="F130" s="158"/>
      <c r="G130" s="158"/>
      <c r="H130" s="158"/>
      <c r="I130" s="158"/>
    </row>
    <row r="131" spans="1:9" ht="15">
      <c r="A131" s="150">
        <v>6035</v>
      </c>
      <c r="B131" s="168" t="s">
        <v>203</v>
      </c>
      <c r="C131" s="157">
        <v>719.85</v>
      </c>
      <c r="D131" s="160">
        <v>719.85</v>
      </c>
      <c r="E131" s="157">
        <v>716.21</v>
      </c>
      <c r="F131" s="158">
        <f>E131/$A$5*$A$6</f>
        <v>65.11</v>
      </c>
      <c r="G131" s="158">
        <v>-65</v>
      </c>
      <c r="H131" s="158">
        <f>SUM(E131:G131)</f>
        <v>716.32</v>
      </c>
      <c r="I131" s="158"/>
    </row>
    <row r="132" spans="1:9" ht="15">
      <c r="A132" s="150">
        <v>6303</v>
      </c>
      <c r="B132" s="168" t="s">
        <v>236</v>
      </c>
      <c r="C132" s="157">
        <v>0</v>
      </c>
      <c r="D132" s="160">
        <v>39600</v>
      </c>
      <c r="E132" s="157">
        <v>0</v>
      </c>
      <c r="F132" s="158">
        <f>E132/$A$5*$A$6</f>
        <v>0</v>
      </c>
      <c r="G132" s="158">
        <v>0</v>
      </c>
      <c r="H132" s="158">
        <f>SUM(E132:G132)</f>
        <v>0</v>
      </c>
      <c r="I132" s="158"/>
    </row>
    <row r="133" spans="1:9" ht="15">
      <c r="A133" s="150">
        <v>6325</v>
      </c>
      <c r="B133" s="150" t="s">
        <v>176</v>
      </c>
      <c r="C133" s="157">
        <v>126026.52</v>
      </c>
      <c r="D133" s="160">
        <v>126219.76</v>
      </c>
      <c r="E133" s="157">
        <v>114702.4</v>
      </c>
      <c r="F133" s="158">
        <f>E133/$A$5*$A$6</f>
        <v>10427.490909090908</v>
      </c>
      <c r="G133" s="158">
        <v>-10427</v>
      </c>
      <c r="H133" s="158">
        <f>SUM(E133:G133)</f>
        <v>114702.8909090909</v>
      </c>
      <c r="I133" s="158">
        <v>8750</v>
      </c>
    </row>
    <row r="134" spans="1:9" ht="15">
      <c r="A134" s="150"/>
      <c r="B134" s="150"/>
      <c r="C134" s="159"/>
      <c r="D134" s="160"/>
      <c r="E134" s="159"/>
      <c r="F134" s="158"/>
      <c r="G134" s="158"/>
      <c r="H134" s="158"/>
      <c r="I134" s="158"/>
    </row>
    <row r="135" spans="1:9" ht="15">
      <c r="A135" s="150"/>
      <c r="B135" s="150"/>
      <c r="C135" s="142">
        <f>SUM(C131:C134)</f>
        <v>126746.37000000001</v>
      </c>
      <c r="D135" s="142">
        <f aca="true" t="shared" si="16" ref="D135:I135">SUM(D131:D134)</f>
        <v>166539.61</v>
      </c>
      <c r="E135" s="142">
        <f t="shared" si="16"/>
        <v>115418.61</v>
      </c>
      <c r="F135" s="142">
        <f t="shared" si="16"/>
        <v>10492.600909090908</v>
      </c>
      <c r="G135" s="142">
        <f t="shared" si="16"/>
        <v>-10492</v>
      </c>
      <c r="H135" s="142">
        <f t="shared" si="16"/>
        <v>115419.2109090909</v>
      </c>
      <c r="I135" s="142">
        <f t="shared" si="16"/>
        <v>8750</v>
      </c>
    </row>
    <row r="136" spans="1:9" ht="15">
      <c r="A136" s="150"/>
      <c r="B136" s="150"/>
      <c r="C136" s="159"/>
      <c r="D136" s="160"/>
      <c r="E136" s="159"/>
      <c r="F136" s="158"/>
      <c r="G136" s="158"/>
      <c r="H136" s="158"/>
      <c r="I136" s="158"/>
    </row>
    <row r="137" spans="1:9" ht="15.75">
      <c r="A137" s="148" t="s">
        <v>177</v>
      </c>
      <c r="B137" s="150"/>
      <c r="C137" s="158"/>
      <c r="D137" s="158"/>
      <c r="E137" s="158"/>
      <c r="F137" s="158"/>
      <c r="G137" s="158"/>
      <c r="H137" s="158"/>
      <c r="I137" s="158"/>
    </row>
    <row r="138" spans="1:9" ht="15">
      <c r="A138" s="150"/>
      <c r="B138" s="150"/>
      <c r="C138" s="158"/>
      <c r="D138" s="158"/>
      <c r="E138" s="158"/>
      <c r="F138" s="158"/>
      <c r="G138" s="158"/>
      <c r="H138" s="158"/>
      <c r="I138" s="158"/>
    </row>
    <row r="139" spans="1:9" ht="15">
      <c r="A139" s="150">
        <v>1301</v>
      </c>
      <c r="B139" s="168" t="s">
        <v>261</v>
      </c>
      <c r="C139" s="157">
        <v>0</v>
      </c>
      <c r="D139" s="158">
        <v>0</v>
      </c>
      <c r="E139" s="157">
        <v>20</v>
      </c>
      <c r="F139" s="158">
        <f>E139/$A$5*$A$6</f>
        <v>1.8181818181818181</v>
      </c>
      <c r="G139" s="158">
        <v>-2</v>
      </c>
      <c r="H139" s="158">
        <f>SUM(E139:G139)</f>
        <v>19.818181818181817</v>
      </c>
      <c r="I139" s="158"/>
    </row>
    <row r="140" spans="1:9" ht="15">
      <c r="A140" s="150">
        <v>1316</v>
      </c>
      <c r="B140" s="168" t="s">
        <v>204</v>
      </c>
      <c r="C140" s="157">
        <v>16.12</v>
      </c>
      <c r="D140" s="158">
        <v>16.12</v>
      </c>
      <c r="E140" s="157">
        <v>0</v>
      </c>
      <c r="F140" s="158">
        <f>E140/$A$5*$A$6</f>
        <v>0</v>
      </c>
      <c r="G140" s="158">
        <v>0</v>
      </c>
      <c r="H140" s="158">
        <f>SUM(E140:G140)</f>
        <v>0</v>
      </c>
      <c r="I140" s="158"/>
    </row>
    <row r="141" spans="1:9" ht="15">
      <c r="A141" s="150"/>
      <c r="B141" s="150"/>
      <c r="C141" s="159"/>
      <c r="D141" s="160"/>
      <c r="E141" s="159"/>
      <c r="F141" s="158"/>
      <c r="G141" s="158"/>
      <c r="H141" s="158"/>
      <c r="I141" s="158"/>
    </row>
    <row r="142" spans="1:9" ht="15">
      <c r="A142" s="150"/>
      <c r="B142" s="150"/>
      <c r="C142" s="142">
        <f>SUM(C139:C141)</f>
        <v>16.12</v>
      </c>
      <c r="D142" s="142">
        <f aca="true" t="shared" si="17" ref="D142:I142">SUM(D139:D141)</f>
        <v>16.12</v>
      </c>
      <c r="E142" s="142">
        <f t="shared" si="17"/>
        <v>20</v>
      </c>
      <c r="F142" s="142">
        <f t="shared" si="17"/>
        <v>1.8181818181818181</v>
      </c>
      <c r="G142" s="142">
        <f t="shared" si="17"/>
        <v>-2</v>
      </c>
      <c r="H142" s="142">
        <f t="shared" si="17"/>
        <v>19.818181818181817</v>
      </c>
      <c r="I142" s="142">
        <f t="shared" si="17"/>
        <v>0</v>
      </c>
    </row>
    <row r="144" spans="1:9" ht="15.75">
      <c r="A144" s="148" t="s">
        <v>178</v>
      </c>
      <c r="B144" s="150"/>
      <c r="C144" s="158"/>
      <c r="D144" s="158"/>
      <c r="E144" s="158"/>
      <c r="F144" s="158"/>
      <c r="G144" s="158"/>
      <c r="H144" s="158"/>
      <c r="I144" s="158"/>
    </row>
    <row r="145" spans="1:9" ht="15">
      <c r="A145" s="150"/>
      <c r="B145" s="150"/>
      <c r="C145" s="158"/>
      <c r="D145" s="158"/>
      <c r="E145" s="158"/>
      <c r="F145" s="158"/>
      <c r="G145" s="158"/>
      <c r="H145" s="158"/>
      <c r="I145" s="158"/>
    </row>
    <row r="146" spans="1:10" ht="15">
      <c r="A146" s="150">
        <v>1413</v>
      </c>
      <c r="B146" s="168" t="s">
        <v>237</v>
      </c>
      <c r="C146" s="157">
        <v>10136</v>
      </c>
      <c r="D146" s="158">
        <v>15059.5</v>
      </c>
      <c r="E146" s="157">
        <v>0</v>
      </c>
      <c r="F146" s="158">
        <f>E146/$A$5*$A$6</f>
        <v>0</v>
      </c>
      <c r="G146" s="158">
        <v>7578</v>
      </c>
      <c r="H146" s="158">
        <f>SUM(E146:G146)</f>
        <v>7578</v>
      </c>
      <c r="I146" s="158"/>
      <c r="J146" s="175" t="s">
        <v>257</v>
      </c>
    </row>
    <row r="147" spans="1:9" ht="15">
      <c r="A147" s="150">
        <v>1420</v>
      </c>
      <c r="B147" s="168" t="s">
        <v>239</v>
      </c>
      <c r="C147" s="157">
        <v>1360</v>
      </c>
      <c r="D147" s="158">
        <v>1360</v>
      </c>
      <c r="E147" s="157">
        <v>0</v>
      </c>
      <c r="F147" s="158">
        <f>E147/$A$5*$A$6</f>
        <v>0</v>
      </c>
      <c r="G147" s="158">
        <v>0</v>
      </c>
      <c r="H147" s="158">
        <f>SUM(E147:G147)</f>
        <v>0</v>
      </c>
      <c r="I147" s="158"/>
    </row>
    <row r="148" spans="1:9" ht="15">
      <c r="A148" s="150">
        <v>5105</v>
      </c>
      <c r="B148" s="168" t="s">
        <v>205</v>
      </c>
      <c r="C148" s="157">
        <v>2142.87</v>
      </c>
      <c r="D148" s="158">
        <v>2142.87</v>
      </c>
      <c r="E148" s="157">
        <v>0</v>
      </c>
      <c r="F148" s="158">
        <f>E148/$A$5*$A$6</f>
        <v>0</v>
      </c>
      <c r="G148" s="158">
        <v>0</v>
      </c>
      <c r="H148" s="158">
        <f>SUM(E148:G148)</f>
        <v>0</v>
      </c>
      <c r="I148" s="158"/>
    </row>
    <row r="149" spans="1:9" ht="15">
      <c r="A149" s="150">
        <v>9436</v>
      </c>
      <c r="B149" s="168" t="s">
        <v>262</v>
      </c>
      <c r="C149" s="157">
        <v>0</v>
      </c>
      <c r="D149" s="158">
        <v>0</v>
      </c>
      <c r="E149" s="157">
        <v>-180.97</v>
      </c>
      <c r="F149" s="158">
        <f>E149/$A$5*$A$6</f>
        <v>-16.451818181818183</v>
      </c>
      <c r="G149" s="158">
        <v>16</v>
      </c>
      <c r="H149" s="158">
        <f>SUM(E149:G149)</f>
        <v>-181.4218181818182</v>
      </c>
      <c r="I149" s="158"/>
    </row>
    <row r="150" spans="1:9" ht="15">
      <c r="A150" s="150"/>
      <c r="B150" s="150"/>
      <c r="C150" s="159"/>
      <c r="D150" s="160"/>
      <c r="E150" s="159"/>
      <c r="F150" s="158"/>
      <c r="G150" s="158"/>
      <c r="H150" s="158"/>
      <c r="I150" s="158"/>
    </row>
    <row r="151" spans="1:9" ht="15">
      <c r="A151" s="150"/>
      <c r="B151" s="150"/>
      <c r="C151" s="142">
        <f>SUM(C146:C150)</f>
        <v>13638.869999999999</v>
      </c>
      <c r="D151" s="142">
        <f aca="true" t="shared" si="18" ref="D151:I151">SUM(D146:D150)</f>
        <v>18562.37</v>
      </c>
      <c r="E151" s="142">
        <f t="shared" si="18"/>
        <v>-180.97</v>
      </c>
      <c r="F151" s="142">
        <f t="shared" si="18"/>
        <v>-16.451818181818183</v>
      </c>
      <c r="G151" s="142">
        <f t="shared" si="18"/>
        <v>7594</v>
      </c>
      <c r="H151" s="142">
        <f t="shared" si="18"/>
        <v>7396.578181818182</v>
      </c>
      <c r="I151" s="142">
        <f t="shared" si="18"/>
        <v>0</v>
      </c>
    </row>
    <row r="153" ht="15.75">
      <c r="A153" s="154" t="s">
        <v>179</v>
      </c>
    </row>
    <row r="155" spans="1:10" ht="15">
      <c r="A155" s="166">
        <v>733</v>
      </c>
      <c r="B155" s="168" t="s">
        <v>206</v>
      </c>
      <c r="C155" s="157">
        <v>15000</v>
      </c>
      <c r="D155" s="158">
        <v>15000</v>
      </c>
      <c r="E155" s="157">
        <v>203469.92</v>
      </c>
      <c r="F155" s="158">
        <f>E155/$A$5*$A$6</f>
        <v>18497.265454545457</v>
      </c>
      <c r="G155" s="158">
        <v>-18497</v>
      </c>
      <c r="H155" s="158">
        <f>SUM(E155:G155)</f>
        <v>203470.18545454548</v>
      </c>
      <c r="I155" s="158"/>
      <c r="J155" s="175"/>
    </row>
    <row r="157" spans="3:9" ht="15">
      <c r="C157" s="171">
        <f>SUM(C155:C156)</f>
        <v>15000</v>
      </c>
      <c r="D157" s="171">
        <f aca="true" t="shared" si="19" ref="D157:I157">SUM(D155:D156)</f>
        <v>15000</v>
      </c>
      <c r="E157" s="171">
        <f t="shared" si="19"/>
        <v>203469.92</v>
      </c>
      <c r="F157" s="171">
        <f t="shared" si="19"/>
        <v>18497.265454545457</v>
      </c>
      <c r="G157" s="171">
        <f t="shared" si="19"/>
        <v>-18497</v>
      </c>
      <c r="H157" s="171">
        <f t="shared" si="19"/>
        <v>203470.18545454548</v>
      </c>
      <c r="I157" s="171">
        <f t="shared" si="19"/>
        <v>0</v>
      </c>
    </row>
    <row r="159" ht="15.75">
      <c r="A159" s="154" t="s">
        <v>180</v>
      </c>
    </row>
    <row r="161" spans="1:8" ht="15">
      <c r="A161" s="166">
        <v>3001</v>
      </c>
      <c r="B161" s="168" t="s">
        <v>209</v>
      </c>
      <c r="C161" s="157">
        <v>211969.72</v>
      </c>
      <c r="D161" s="158">
        <v>312167.79</v>
      </c>
      <c r="E161" s="157">
        <v>231772.03</v>
      </c>
      <c r="F161" s="158">
        <f>E161/$A$5*$A$6</f>
        <v>21070.184545454544</v>
      </c>
      <c r="G161" s="158">
        <v>79128</v>
      </c>
      <c r="H161" s="158">
        <f>SUM(E161:G161)</f>
        <v>331970.21454545454</v>
      </c>
    </row>
    <row r="162" spans="1:8" ht="15">
      <c r="A162" s="166">
        <v>3002</v>
      </c>
      <c r="B162" s="168" t="s">
        <v>207</v>
      </c>
      <c r="C162" s="157">
        <v>129900.59</v>
      </c>
      <c r="D162" s="158">
        <v>189513.41</v>
      </c>
      <c r="E162" s="157">
        <v>151257.84</v>
      </c>
      <c r="F162" s="158">
        <f>E162/$A$5*$A$6</f>
        <v>13750.712727272727</v>
      </c>
      <c r="G162" s="158">
        <v>45861</v>
      </c>
      <c r="H162" s="158">
        <f>SUM(E162:G162)</f>
        <v>210869.55272727273</v>
      </c>
    </row>
    <row r="163" spans="1:8" ht="15">
      <c r="A163" s="166">
        <v>4801</v>
      </c>
      <c r="B163" s="168" t="s">
        <v>208</v>
      </c>
      <c r="C163" s="157">
        <v>2532.79</v>
      </c>
      <c r="D163" s="158">
        <v>3513.72</v>
      </c>
      <c r="E163" s="157">
        <v>2211.16</v>
      </c>
      <c r="F163" s="158">
        <f>E163/$A$5*$A$6</f>
        <v>201.01454545454544</v>
      </c>
      <c r="G163" s="158">
        <v>780</v>
      </c>
      <c r="H163" s="158">
        <f>SUM(E163:G163)</f>
        <v>3192.1745454545453</v>
      </c>
    </row>
    <row r="164" spans="1:8" ht="15">
      <c r="A164" s="166">
        <v>6000</v>
      </c>
      <c r="B164" s="168" t="s">
        <v>210</v>
      </c>
      <c r="C164" s="157">
        <v>12279.21</v>
      </c>
      <c r="D164" s="158">
        <v>18567.31</v>
      </c>
      <c r="E164" s="157">
        <v>13600.86</v>
      </c>
      <c r="F164" s="158">
        <f>E164/$A$5*$A$6</f>
        <v>1236.4418181818182</v>
      </c>
      <c r="G164" s="158">
        <v>4512</v>
      </c>
      <c r="H164" s="158">
        <f>SUM(E164:G164)</f>
        <v>19349.30181818182</v>
      </c>
    </row>
    <row r="165" spans="1:9" ht="15">
      <c r="A165" s="166"/>
      <c r="B165" s="150"/>
      <c r="C165" s="142">
        <f aca="true" t="shared" si="20" ref="C165:I165">SUM(C161:C164)</f>
        <v>356682.31</v>
      </c>
      <c r="D165" s="142">
        <f t="shared" si="20"/>
        <v>523762.2299999999</v>
      </c>
      <c r="E165" s="142">
        <f>SUM(E161:E164)</f>
        <v>398841.88999999996</v>
      </c>
      <c r="F165" s="142">
        <f t="shared" si="20"/>
        <v>36258.35363636364</v>
      </c>
      <c r="G165" s="142">
        <f t="shared" si="20"/>
        <v>130281</v>
      </c>
      <c r="H165" s="142">
        <f t="shared" si="20"/>
        <v>565381.2436363637</v>
      </c>
      <c r="I165" s="142">
        <f t="shared" si="20"/>
        <v>0</v>
      </c>
    </row>
    <row r="166" spans="1:8" ht="15">
      <c r="A166" s="166"/>
      <c r="B166" s="150"/>
      <c r="C166" s="159"/>
      <c r="D166" s="160"/>
      <c r="E166" s="159"/>
      <c r="F166" s="158"/>
      <c r="G166" s="158"/>
      <c r="H166" s="158"/>
    </row>
    <row r="167" ht="15.75">
      <c r="A167" s="167" t="s">
        <v>181</v>
      </c>
    </row>
    <row r="169" spans="1:8" ht="15">
      <c r="A169" s="146">
        <v>6112</v>
      </c>
      <c r="B169" s="146" t="s">
        <v>182</v>
      </c>
      <c r="C169" s="157">
        <v>199119.7</v>
      </c>
      <c r="D169" s="158">
        <v>272654.11</v>
      </c>
      <c r="E169" s="157">
        <v>250786.35</v>
      </c>
      <c r="F169" s="158">
        <f>E169/$A$5*$A$6</f>
        <v>22798.75909090909</v>
      </c>
      <c r="G169" s="158">
        <v>111456</v>
      </c>
      <c r="H169" s="158">
        <f>SUM(E169:G169)</f>
        <v>385041.10909090907</v>
      </c>
    </row>
    <row r="170" spans="3:8" ht="15">
      <c r="C170" s="159"/>
      <c r="D170" s="160"/>
      <c r="E170" s="159"/>
      <c r="F170" s="158"/>
      <c r="G170" s="158"/>
      <c r="H170" s="158"/>
    </row>
    <row r="171" spans="3:9" ht="15">
      <c r="C171" s="142">
        <f aca="true" t="shared" si="21" ref="C171:I171">SUM(C169:C170)</f>
        <v>199119.7</v>
      </c>
      <c r="D171" s="142">
        <f t="shared" si="21"/>
        <v>272654.11</v>
      </c>
      <c r="E171" s="142">
        <f t="shared" si="21"/>
        <v>250786.35</v>
      </c>
      <c r="F171" s="142">
        <f t="shared" si="21"/>
        <v>22798.75909090909</v>
      </c>
      <c r="G171" s="142">
        <f t="shared" si="21"/>
        <v>111456</v>
      </c>
      <c r="H171" s="142">
        <f t="shared" si="21"/>
        <v>385041.10909090907</v>
      </c>
      <c r="I171" s="142">
        <f t="shared" si="21"/>
        <v>0</v>
      </c>
    </row>
    <row r="172" spans="3:8" ht="15">
      <c r="C172" s="159"/>
      <c r="D172" s="160"/>
      <c r="E172" s="159"/>
      <c r="F172" s="158"/>
      <c r="G172" s="158"/>
      <c r="H172" s="158"/>
    </row>
    <row r="173" spans="1:8" ht="15.75">
      <c r="A173" s="148" t="s">
        <v>211</v>
      </c>
      <c r="B173" s="150"/>
      <c r="C173" s="158"/>
      <c r="D173" s="158"/>
      <c r="E173" s="158"/>
      <c r="F173" s="158"/>
      <c r="G173" s="158"/>
      <c r="H173" s="158"/>
    </row>
    <row r="174" spans="1:9" ht="15">
      <c r="A174" s="150"/>
      <c r="B174" s="150"/>
      <c r="C174" s="158"/>
      <c r="D174" s="158"/>
      <c r="E174" s="158"/>
      <c r="F174" s="158"/>
      <c r="G174" s="158"/>
      <c r="H174" s="158"/>
      <c r="I174" s="158"/>
    </row>
    <row r="175" spans="1:9" ht="15">
      <c r="A175" s="150">
        <v>710</v>
      </c>
      <c r="B175" s="168" t="s">
        <v>212</v>
      </c>
      <c r="C175" s="165">
        <v>868408.27</v>
      </c>
      <c r="D175" s="158">
        <v>1170128.43</v>
      </c>
      <c r="E175" s="165">
        <v>715381.45</v>
      </c>
      <c r="F175" s="158">
        <f aca="true" t="shared" si="22" ref="F175:F196">E175/$A$5*$A$7</f>
        <v>130069.35454545454</v>
      </c>
      <c r="G175" s="158">
        <v>102404</v>
      </c>
      <c r="H175" s="158">
        <f>SUM(E175:G175)</f>
        <v>947854.8045454544</v>
      </c>
      <c r="I175" s="158">
        <v>69246.25</v>
      </c>
    </row>
    <row r="176" spans="1:9" ht="15">
      <c r="A176" s="150">
        <v>740</v>
      </c>
      <c r="B176" s="168" t="s">
        <v>213</v>
      </c>
      <c r="C176" s="165">
        <v>549.6</v>
      </c>
      <c r="D176" s="158">
        <v>549.6</v>
      </c>
      <c r="E176" s="165">
        <v>2290.54</v>
      </c>
      <c r="F176" s="158">
        <f t="shared" si="22"/>
        <v>416.46181818181816</v>
      </c>
      <c r="G176" s="158">
        <v>-416</v>
      </c>
      <c r="H176" s="158">
        <f>SUM(E176:G176)</f>
        <v>2291.001818181818</v>
      </c>
      <c r="I176" s="158"/>
    </row>
    <row r="177" spans="1:9" ht="15">
      <c r="A177" s="150">
        <v>741</v>
      </c>
      <c r="B177" s="168" t="s">
        <v>214</v>
      </c>
      <c r="C177" s="157">
        <v>3192.9</v>
      </c>
      <c r="D177" s="158">
        <v>3688.65</v>
      </c>
      <c r="E177" s="157">
        <v>1974.76</v>
      </c>
      <c r="F177" s="158">
        <f t="shared" si="22"/>
        <v>359.04727272727274</v>
      </c>
      <c r="G177" s="158">
        <v>137</v>
      </c>
      <c r="H177" s="158">
        <f>SUM(E177:G177)</f>
        <v>2470.807272727273</v>
      </c>
      <c r="I177" s="158"/>
    </row>
    <row r="178" spans="1:9" ht="15">
      <c r="A178" s="150">
        <v>742</v>
      </c>
      <c r="B178" s="168" t="s">
        <v>215</v>
      </c>
      <c r="C178" s="157">
        <v>9344.01</v>
      </c>
      <c r="D178" s="158">
        <v>11080.65</v>
      </c>
      <c r="E178" s="157">
        <v>5183.91</v>
      </c>
      <c r="F178" s="158">
        <f t="shared" si="22"/>
        <v>942.5290909090909</v>
      </c>
      <c r="G178" s="158">
        <v>-943</v>
      </c>
      <c r="H178" s="158">
        <f>SUM(E178:G178)</f>
        <v>5183.439090909091</v>
      </c>
      <c r="I178" s="158">
        <v>8149.41</v>
      </c>
    </row>
    <row r="179" spans="1:9" ht="15">
      <c r="A179" s="150">
        <v>743</v>
      </c>
      <c r="B179" s="168" t="s">
        <v>216</v>
      </c>
      <c r="C179" s="157">
        <v>6555.03</v>
      </c>
      <c r="D179" s="158">
        <v>9123.31</v>
      </c>
      <c r="E179" s="157">
        <v>5244.9</v>
      </c>
      <c r="F179" s="158">
        <f t="shared" si="22"/>
        <v>953.6181818181817</v>
      </c>
      <c r="G179" s="158">
        <v>-954</v>
      </c>
      <c r="H179" s="158">
        <f>SUM(E179:G179)</f>
        <v>5244.518181818181</v>
      </c>
      <c r="I179" s="158">
        <v>6088.42</v>
      </c>
    </row>
    <row r="180" spans="1:9" ht="15">
      <c r="A180" s="150">
        <v>744</v>
      </c>
      <c r="B180" s="168" t="s">
        <v>217</v>
      </c>
      <c r="C180" s="157">
        <v>29422.6</v>
      </c>
      <c r="D180" s="158">
        <v>38308.94</v>
      </c>
      <c r="E180" s="157">
        <v>34011.94</v>
      </c>
      <c r="F180" s="158">
        <f t="shared" si="22"/>
        <v>6183.989090909091</v>
      </c>
      <c r="G180" s="158">
        <v>-6184</v>
      </c>
      <c r="H180" s="158">
        <f aca="true" t="shared" si="23" ref="H180:H188">SUM(E180:G180)</f>
        <v>34011.92909090909</v>
      </c>
      <c r="I180" s="158">
        <v>14470.35</v>
      </c>
    </row>
    <row r="181" spans="1:9" ht="15">
      <c r="A181" s="150">
        <v>745</v>
      </c>
      <c r="B181" s="168" t="s">
        <v>218</v>
      </c>
      <c r="C181" s="157">
        <v>22195.96</v>
      </c>
      <c r="D181" s="158">
        <v>23330.48</v>
      </c>
      <c r="E181" s="157">
        <v>24214.17</v>
      </c>
      <c r="F181" s="158">
        <f t="shared" si="22"/>
        <v>4402.576363636364</v>
      </c>
      <c r="G181" s="158">
        <v>-4403</v>
      </c>
      <c r="H181" s="158">
        <f>SUM(E181:G181)</f>
        <v>24213.74636363636</v>
      </c>
      <c r="I181" s="158">
        <v>2157.2</v>
      </c>
    </row>
    <row r="182" spans="1:9" ht="15">
      <c r="A182" s="150">
        <v>925</v>
      </c>
      <c r="B182" s="168" t="s">
        <v>219</v>
      </c>
      <c r="C182" s="157">
        <v>87556.63</v>
      </c>
      <c r="D182" s="158">
        <v>94354.98</v>
      </c>
      <c r="E182" s="157">
        <v>52625.03</v>
      </c>
      <c r="F182" s="158">
        <f t="shared" si="22"/>
        <v>9568.187272727273</v>
      </c>
      <c r="G182" s="158">
        <v>-9568</v>
      </c>
      <c r="H182" s="158">
        <f t="shared" si="23"/>
        <v>52625.21727272727</v>
      </c>
      <c r="I182" s="158">
        <v>49081.17</v>
      </c>
    </row>
    <row r="183" spans="1:9" ht="15">
      <c r="A183" s="150">
        <v>960</v>
      </c>
      <c r="B183" s="168" t="s">
        <v>220</v>
      </c>
      <c r="C183" s="157">
        <v>27949.72</v>
      </c>
      <c r="D183" s="158">
        <v>31013.72</v>
      </c>
      <c r="E183" s="157">
        <v>16291.75</v>
      </c>
      <c r="F183" s="158">
        <f t="shared" si="22"/>
        <v>2962.1363636363635</v>
      </c>
      <c r="G183" s="158">
        <v>102</v>
      </c>
      <c r="H183" s="158">
        <f t="shared" si="23"/>
        <v>19355.886363636364</v>
      </c>
      <c r="I183" s="158"/>
    </row>
    <row r="184" spans="1:9" ht="15">
      <c r="A184" s="150">
        <v>961</v>
      </c>
      <c r="B184" s="168" t="s">
        <v>221</v>
      </c>
      <c r="C184" s="157">
        <v>71554.76</v>
      </c>
      <c r="D184" s="158">
        <v>82244.15</v>
      </c>
      <c r="E184" s="157">
        <v>41150.16</v>
      </c>
      <c r="F184" s="158">
        <f t="shared" si="22"/>
        <v>7481.847272727274</v>
      </c>
      <c r="G184" s="158">
        <v>3207</v>
      </c>
      <c r="H184" s="158">
        <f t="shared" si="23"/>
        <v>51839.00727272728</v>
      </c>
      <c r="I184" s="158"/>
    </row>
    <row r="185" spans="1:9" ht="15">
      <c r="A185" s="150">
        <v>962</v>
      </c>
      <c r="B185" s="168" t="s">
        <v>222</v>
      </c>
      <c r="C185" s="157">
        <v>10307.3</v>
      </c>
      <c r="D185" s="158">
        <v>11850.18</v>
      </c>
      <c r="E185" s="157">
        <v>7358.05</v>
      </c>
      <c r="F185" s="158">
        <f t="shared" si="22"/>
        <v>1337.8272727272727</v>
      </c>
      <c r="G185" s="158">
        <v>205</v>
      </c>
      <c r="H185" s="158">
        <f t="shared" si="23"/>
        <v>8900.877272727274</v>
      </c>
      <c r="I185" s="158"/>
    </row>
    <row r="186" spans="1:9" ht="15">
      <c r="A186" s="150">
        <v>963</v>
      </c>
      <c r="B186" s="168" t="s">
        <v>223</v>
      </c>
      <c r="C186" s="157">
        <v>54516.25</v>
      </c>
      <c r="D186" s="158">
        <v>66156.49</v>
      </c>
      <c r="E186" s="157">
        <v>55397.67</v>
      </c>
      <c r="F186" s="158">
        <f t="shared" si="22"/>
        <v>10072.303636363637</v>
      </c>
      <c r="G186" s="158">
        <v>1568</v>
      </c>
      <c r="H186" s="158">
        <f t="shared" si="23"/>
        <v>67037.97363636363</v>
      </c>
      <c r="I186" s="158"/>
    </row>
    <row r="187" spans="1:9" ht="15">
      <c r="A187" s="150">
        <v>964</v>
      </c>
      <c r="B187" s="168" t="s">
        <v>224</v>
      </c>
      <c r="C187" s="157">
        <v>9211.26</v>
      </c>
      <c r="D187" s="158">
        <v>16759.84</v>
      </c>
      <c r="E187" s="157">
        <v>14512.95</v>
      </c>
      <c r="F187" s="158">
        <f t="shared" si="22"/>
        <v>2638.718181818182</v>
      </c>
      <c r="G187" s="158">
        <v>4710</v>
      </c>
      <c r="H187" s="158">
        <f t="shared" si="23"/>
        <v>21861.668181818182</v>
      </c>
      <c r="I187" s="158">
        <v>200.42</v>
      </c>
    </row>
    <row r="188" spans="1:9" ht="15">
      <c r="A188" s="150">
        <v>965</v>
      </c>
      <c r="B188" s="168" t="s">
        <v>225</v>
      </c>
      <c r="C188" s="157">
        <v>30990.29</v>
      </c>
      <c r="D188" s="158">
        <v>43102.29</v>
      </c>
      <c r="E188" s="157">
        <v>35835.74</v>
      </c>
      <c r="F188" s="158">
        <f t="shared" si="22"/>
        <v>6515.58909090909</v>
      </c>
      <c r="G188" s="158">
        <v>5597</v>
      </c>
      <c r="H188" s="158">
        <f t="shared" si="23"/>
        <v>47948.32909090909</v>
      </c>
      <c r="I188" s="158"/>
    </row>
    <row r="189" spans="1:9" ht="15">
      <c r="A189" s="150">
        <v>966</v>
      </c>
      <c r="B189" s="168" t="s">
        <v>226</v>
      </c>
      <c r="C189" s="157">
        <v>8583.41</v>
      </c>
      <c r="D189" s="158">
        <v>8694.72</v>
      </c>
      <c r="E189" s="157">
        <v>15579.67</v>
      </c>
      <c r="F189" s="158">
        <f t="shared" si="22"/>
        <v>2832.6672727272726</v>
      </c>
      <c r="G189" s="158">
        <v>-2720</v>
      </c>
      <c r="H189" s="158">
        <f aca="true" t="shared" si="24" ref="H189:H196">SUM(E189:G189)</f>
        <v>15692.337272727273</v>
      </c>
      <c r="I189" s="158"/>
    </row>
    <row r="190" spans="1:9" ht="15">
      <c r="A190" s="150">
        <v>6036</v>
      </c>
      <c r="B190" s="168" t="s">
        <v>227</v>
      </c>
      <c r="C190" s="157">
        <v>1259165.6</v>
      </c>
      <c r="D190" s="158">
        <v>1846892.63</v>
      </c>
      <c r="E190" s="157">
        <v>1450902.98</v>
      </c>
      <c r="F190" s="158">
        <f t="shared" si="22"/>
        <v>263800.5418181818</v>
      </c>
      <c r="G190" s="158">
        <v>323926</v>
      </c>
      <c r="H190" s="158">
        <f t="shared" si="24"/>
        <v>2038629.5218181817</v>
      </c>
      <c r="I190" s="158"/>
    </row>
    <row r="191" spans="1:9" ht="15">
      <c r="A191" s="150">
        <v>6172</v>
      </c>
      <c r="B191" s="168" t="s">
        <v>228</v>
      </c>
      <c r="C191" s="157">
        <v>5141.76</v>
      </c>
      <c r="D191" s="158">
        <v>5540.01</v>
      </c>
      <c r="E191" s="157">
        <v>3582</v>
      </c>
      <c r="F191" s="158">
        <f t="shared" si="22"/>
        <v>651.2727272727273</v>
      </c>
      <c r="G191" s="158">
        <v>253</v>
      </c>
      <c r="H191" s="158">
        <f t="shared" si="24"/>
        <v>4486.272727272727</v>
      </c>
      <c r="I191" s="158"/>
    </row>
    <row r="192" spans="1:9" ht="15">
      <c r="A192" s="150">
        <v>6173</v>
      </c>
      <c r="B192" s="168" t="s">
        <v>229</v>
      </c>
      <c r="C192" s="157">
        <v>3486</v>
      </c>
      <c r="D192" s="158">
        <v>3803</v>
      </c>
      <c r="E192" s="157">
        <v>2528.5</v>
      </c>
      <c r="F192" s="158">
        <f t="shared" si="22"/>
        <v>459.72727272727275</v>
      </c>
      <c r="G192" s="158">
        <v>-142</v>
      </c>
      <c r="H192" s="158">
        <f t="shared" si="24"/>
        <v>2846.227272727273</v>
      </c>
      <c r="I192" s="158"/>
    </row>
    <row r="193" spans="1:9" ht="15">
      <c r="A193" s="150">
        <v>6174</v>
      </c>
      <c r="B193" s="168" t="s">
        <v>231</v>
      </c>
      <c r="C193" s="157">
        <v>33046.25</v>
      </c>
      <c r="D193" s="158">
        <v>41165</v>
      </c>
      <c r="E193" s="157">
        <v>48086.75</v>
      </c>
      <c r="F193" s="158">
        <f t="shared" si="22"/>
        <v>8743.045454545454</v>
      </c>
      <c r="G193" s="158">
        <v>-624</v>
      </c>
      <c r="H193" s="158">
        <f t="shared" si="24"/>
        <v>56205.795454545456</v>
      </c>
      <c r="I193" s="158"/>
    </row>
    <row r="194" spans="1:9" ht="15">
      <c r="A194" s="150">
        <v>6329</v>
      </c>
      <c r="B194" s="168" t="s">
        <v>230</v>
      </c>
      <c r="C194" s="157">
        <v>788027.12</v>
      </c>
      <c r="D194" s="158">
        <v>916598.63</v>
      </c>
      <c r="E194" s="157">
        <v>589770.25</v>
      </c>
      <c r="F194" s="158">
        <f t="shared" si="22"/>
        <v>107230.95454545454</v>
      </c>
      <c r="G194" s="158">
        <v>-100000</v>
      </c>
      <c r="H194" s="158">
        <f t="shared" si="24"/>
        <v>597001.2045454546</v>
      </c>
      <c r="I194" s="158">
        <v>137214.48</v>
      </c>
    </row>
    <row r="195" spans="1:9" ht="15">
      <c r="A195" s="150">
        <v>9426</v>
      </c>
      <c r="B195" s="168" t="s">
        <v>232</v>
      </c>
      <c r="C195" s="157">
        <v>288421.32</v>
      </c>
      <c r="D195" s="158">
        <v>375698.87</v>
      </c>
      <c r="E195" s="157">
        <v>236221.26</v>
      </c>
      <c r="F195" s="158">
        <f t="shared" si="22"/>
        <v>42949.32</v>
      </c>
      <c r="G195" s="158">
        <v>44328</v>
      </c>
      <c r="H195" s="158">
        <f t="shared" si="24"/>
        <v>323498.58</v>
      </c>
      <c r="I195" s="158"/>
    </row>
    <row r="196" spans="1:9" ht="15">
      <c r="A196" s="150">
        <v>9429</v>
      </c>
      <c r="B196" s="168" t="s">
        <v>233</v>
      </c>
      <c r="C196" s="157">
        <v>65055.25</v>
      </c>
      <c r="D196" s="158">
        <v>76795.44</v>
      </c>
      <c r="E196" s="157">
        <v>54376.48</v>
      </c>
      <c r="F196" s="158">
        <f t="shared" si="22"/>
        <v>9886.632727272729</v>
      </c>
      <c r="G196" s="158">
        <v>1493</v>
      </c>
      <c r="H196" s="158">
        <f t="shared" si="24"/>
        <v>65756.11272727273</v>
      </c>
      <c r="I196" s="158"/>
    </row>
    <row r="197" spans="1:9" ht="15">
      <c r="A197" s="150"/>
      <c r="B197" s="150"/>
      <c r="C197" s="161"/>
      <c r="D197" s="161"/>
      <c r="E197" s="161"/>
      <c r="F197" s="161"/>
      <c r="G197" s="161"/>
      <c r="H197" s="161"/>
      <c r="I197" s="161"/>
    </row>
    <row r="198" spans="1:9" ht="15">
      <c r="A198" s="150"/>
      <c r="B198" s="150"/>
      <c r="C198" s="161">
        <f aca="true" t="shared" si="25" ref="C198:I198">SUM(C175:C197)</f>
        <v>3682681.2899999996</v>
      </c>
      <c r="D198" s="161">
        <f t="shared" si="25"/>
        <v>4876880.01</v>
      </c>
      <c r="E198" s="161">
        <f t="shared" si="25"/>
        <v>3412520.9099999997</v>
      </c>
      <c r="F198" s="161">
        <f t="shared" si="25"/>
        <v>620458.3472727272</v>
      </c>
      <c r="G198" s="161">
        <f t="shared" si="25"/>
        <v>361976</v>
      </c>
      <c r="H198" s="161">
        <f t="shared" si="25"/>
        <v>4394955.257272727</v>
      </c>
      <c r="I198" s="161">
        <f t="shared" si="25"/>
        <v>286607.7</v>
      </c>
    </row>
    <row r="199" spans="3:8" ht="15">
      <c r="C199" s="159"/>
      <c r="D199" s="160"/>
      <c r="E199" s="159"/>
      <c r="F199" s="158"/>
      <c r="G199" s="158"/>
      <c r="H199" s="158"/>
    </row>
    <row r="200" ht="15.75">
      <c r="A200" s="167" t="s">
        <v>183</v>
      </c>
    </row>
    <row r="202" spans="1:8" ht="15">
      <c r="A202" s="146">
        <v>5209</v>
      </c>
      <c r="B202" s="146" t="s">
        <v>184</v>
      </c>
      <c r="C202" s="157">
        <v>31176.99</v>
      </c>
      <c r="D202" s="158">
        <v>34512.8</v>
      </c>
      <c r="E202" s="157">
        <v>24644.89</v>
      </c>
      <c r="F202" s="158">
        <f>E202/$A$5*$A$6</f>
        <v>2240.4445454545453</v>
      </c>
      <c r="G202" s="158">
        <v>1096</v>
      </c>
      <c r="H202" s="158">
        <f>SUM(E202:G202)</f>
        <v>27981.334545454545</v>
      </c>
    </row>
    <row r="204" spans="3:9" ht="15">
      <c r="C204" s="171">
        <f>SUM(C202:C203)</f>
        <v>31176.99</v>
      </c>
      <c r="D204" s="171">
        <f aca="true" t="shared" si="26" ref="D204:I204">SUM(D202:D203)</f>
        <v>34512.8</v>
      </c>
      <c r="E204" s="171">
        <f t="shared" si="26"/>
        <v>24644.89</v>
      </c>
      <c r="F204" s="171">
        <f t="shared" si="26"/>
        <v>2240.4445454545453</v>
      </c>
      <c r="G204" s="171">
        <f t="shared" si="26"/>
        <v>1096</v>
      </c>
      <c r="H204" s="171">
        <f t="shared" si="26"/>
        <v>27981.334545454545</v>
      </c>
      <c r="I204" s="171">
        <f t="shared" si="26"/>
        <v>0</v>
      </c>
    </row>
    <row r="206" spans="1:9" ht="15">
      <c r="A206" s="146" t="s">
        <v>185</v>
      </c>
      <c r="C206" s="149">
        <f aca="true" t="shared" si="27" ref="C206:H206">+C20+C45+C55+C63+C92+C98+C118+C127+C135+C142+C151+C157+C165+C171+C198+C204</f>
        <v>7990415.67</v>
      </c>
      <c r="D206" s="149">
        <f t="shared" si="27"/>
        <v>9973308.82</v>
      </c>
      <c r="E206" s="149">
        <f>+E20+E45+E55+E63+E92+E98+E118+E127+E135+E142+E151+E157+E165+E171+E198+E204</f>
        <v>9348247.66</v>
      </c>
      <c r="F206" s="149">
        <f t="shared" si="27"/>
        <v>1249735.4827272727</v>
      </c>
      <c r="G206" s="149">
        <f t="shared" si="27"/>
        <v>468394</v>
      </c>
      <c r="H206" s="149">
        <f t="shared" si="27"/>
        <v>11066377.142727273</v>
      </c>
      <c r="I206" s="149">
        <f>+I20+I45+I55+I63+I92+I98+I118+I127+I135+I142+I151+I157+I165+I171+I198+I204</f>
        <v>1930128.65</v>
      </c>
    </row>
  </sheetData>
  <printOptions/>
  <pageMargins left="0.25" right="0.25" top="0.25" bottom="0.22" header="0.5" footer="0.5"/>
  <pageSetup fitToHeight="1" fitToWidth="1" horizontalDpi="600" verticalDpi="600" orientation="portrait" scale="24" r:id="rId1"/>
  <rowBreaks count="1" manualBreakCount="1">
    <brk id="1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Consumer &amp; Industry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Michigan</dc:creator>
  <cp:keywords/>
  <dc:description/>
  <cp:lastModifiedBy>turneys</cp:lastModifiedBy>
  <cp:lastPrinted>2011-12-15T18:37:04Z</cp:lastPrinted>
  <dcterms:created xsi:type="dcterms:W3CDTF">2001-12-04T13:51:00Z</dcterms:created>
  <dcterms:modified xsi:type="dcterms:W3CDTF">2012-01-20T20:42:49Z</dcterms:modified>
  <cp:category/>
  <cp:version/>
  <cp:contentType/>
  <cp:contentStatus/>
</cp:coreProperties>
</file>